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omments1.xml" ContentType="application/vnd.openxmlformats-officedocument.spreadsheetml.comments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tables/table14.xml" ContentType="application/vnd.openxmlformats-officedocument.spreadsheetml.table+xml"/>
  <Override PartName="/xl/tables/table15.xml" ContentType="application/vnd.openxmlformats-officedocument.spreadsheetml.table+xml"/>
  <Override PartName="/xl/tables/table16.xml" ContentType="application/vnd.openxmlformats-officedocument.spreadsheetml.table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tabRatio="762" activeTab="5"/>
  </bookViews>
  <sheets>
    <sheet name="سقف" sheetId="2" r:id="rId1"/>
    <sheet name="دیوار" sheetId="3" r:id="rId2"/>
    <sheet name="تاسیسات" sheetId="4" r:id="rId3"/>
    <sheet name="تخمین بار زنده" sheetId="5" r:id="rId4"/>
    <sheet name="بار معادل تیغه بندی" sheetId="6" r:id="rId5"/>
    <sheet name="کاهش سربار طبقات" sheetId="7" r:id="rId6"/>
    <sheet name="کاهش سربار بام" sheetId="8" r:id="rId7"/>
    <sheet name="برف" sheetId="9" r:id="rId8"/>
    <sheet name="برف انباشتگی" sheetId="10" r:id="rId9"/>
    <sheet name="راه پله" sheetId="11" r:id="rId10"/>
    <sheet name="خرپشته" sheetId="12" r:id="rId11"/>
    <sheet name="جداول" sheetId="1" r:id="rId12"/>
    <sheet name="ضریب زلزله در راستای X" sheetId="13" r:id="rId13"/>
    <sheet name="ضریب زلزله در راستای Y" sheetId="16" r:id="rId14"/>
    <sheet name="محاسبه بار لرزه ای" sheetId="14" r:id="rId15"/>
    <sheet name="برش پایه و لنگر واژگونی" sheetId="15" r:id="rId16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4" i="7" l="1"/>
  <c r="C12" i="7"/>
  <c r="D16" i="16"/>
  <c r="D10" i="16"/>
  <c r="D9" i="16"/>
  <c r="G5" i="16"/>
  <c r="F5" i="16"/>
  <c r="F3" i="16"/>
  <c r="D11" i="16" s="1"/>
  <c r="D2" i="16"/>
  <c r="D50" i="14"/>
  <c r="D48" i="14"/>
  <c r="D46" i="14"/>
  <c r="D45" i="14"/>
  <c r="D44" i="14"/>
  <c r="D26" i="14"/>
  <c r="D49" i="14" s="1"/>
  <c r="D6" i="14"/>
  <c r="E19" i="14" s="1"/>
  <c r="D16" i="13"/>
  <c r="F3" i="13"/>
  <c r="D12" i="13" s="1"/>
  <c r="D10" i="13"/>
  <c r="D9" i="13"/>
  <c r="G5" i="13"/>
  <c r="F5" i="13"/>
  <c r="D2" i="13"/>
  <c r="D59" i="14" l="1"/>
  <c r="I10" i="14" s="1"/>
  <c r="D3" i="16"/>
  <c r="D5" i="16"/>
  <c r="D7" i="16" s="1"/>
  <c r="D12" i="16"/>
  <c r="D42" i="14"/>
  <c r="I11" i="14" s="1"/>
  <c r="D3" i="13"/>
  <c r="D5" i="13"/>
  <c r="D7" i="13" s="1"/>
  <c r="D11" i="13"/>
  <c r="C7" i="12"/>
  <c r="C3" i="12"/>
  <c r="C2" i="12"/>
  <c r="C17" i="15" l="1"/>
  <c r="I9" i="14"/>
  <c r="C6" i="15" s="1"/>
  <c r="F14" i="16"/>
  <c r="C13" i="15"/>
  <c r="C15" i="15" s="1"/>
  <c r="F14" i="13"/>
  <c r="C12" i="15"/>
  <c r="C14" i="15" s="1"/>
  <c r="D13" i="16"/>
  <c r="D15" i="16" s="1"/>
  <c r="D17" i="16" s="1"/>
  <c r="C3" i="15" s="1"/>
  <c r="G14" i="16"/>
  <c r="D13" i="13"/>
  <c r="D15" i="13" s="1"/>
  <c r="D17" i="13" s="1"/>
  <c r="C2" i="15" s="1"/>
  <c r="G14" i="13"/>
  <c r="D14" i="13" s="1"/>
  <c r="G51" i="11"/>
  <c r="I51" i="11" s="1"/>
  <c r="G37" i="2"/>
  <c r="G23" i="2"/>
  <c r="C9" i="11"/>
  <c r="C15" i="11" s="1"/>
  <c r="C10" i="11"/>
  <c r="C8" i="11"/>
  <c r="C7" i="11"/>
  <c r="C19" i="11" s="1"/>
  <c r="G52" i="11"/>
  <c r="I52" i="11" s="1"/>
  <c r="G53" i="11"/>
  <c r="I53" i="11" s="1"/>
  <c r="G54" i="11"/>
  <c r="I54" i="11" s="1"/>
  <c r="I30" i="11"/>
  <c r="I29" i="11"/>
  <c r="I28" i="11"/>
  <c r="I27" i="11"/>
  <c r="H30" i="11"/>
  <c r="H29" i="11"/>
  <c r="H28" i="11"/>
  <c r="H27" i="11"/>
  <c r="I39" i="11"/>
  <c r="G29" i="11"/>
  <c r="G30" i="11"/>
  <c r="G28" i="11"/>
  <c r="G27" i="11"/>
  <c r="G41" i="11"/>
  <c r="I41" i="11" s="1"/>
  <c r="G40" i="11"/>
  <c r="I40" i="11" s="1"/>
  <c r="G38" i="11"/>
  <c r="I38" i="11" s="1"/>
  <c r="G37" i="11"/>
  <c r="I37" i="11" s="1"/>
  <c r="G36" i="11"/>
  <c r="I36" i="11" s="1"/>
  <c r="G35" i="11"/>
  <c r="I35" i="11" s="1"/>
  <c r="G50" i="11"/>
  <c r="I50" i="11" s="1"/>
  <c r="G49" i="11"/>
  <c r="I49" i="11" s="1"/>
  <c r="G48" i="11"/>
  <c r="I48" i="11" s="1"/>
  <c r="G47" i="11"/>
  <c r="I47" i="11" s="1"/>
  <c r="D5" i="9"/>
  <c r="D9" i="9"/>
  <c r="D4" i="9"/>
  <c r="D8" i="9" s="1"/>
  <c r="D7" i="9"/>
  <c r="D3" i="9" s="1"/>
  <c r="C2" i="10" s="1"/>
  <c r="C3" i="10" s="1"/>
  <c r="D2" i="9"/>
  <c r="C8" i="15" l="1"/>
  <c r="C7" i="15"/>
  <c r="D14" i="16"/>
  <c r="I16" i="15"/>
  <c r="I17" i="15"/>
  <c r="I13" i="15"/>
  <c r="I14" i="15"/>
  <c r="I15" i="15"/>
  <c r="I6" i="15"/>
  <c r="I4" i="15"/>
  <c r="I5" i="15"/>
  <c r="I7" i="15"/>
  <c r="I8" i="15"/>
  <c r="I42" i="11"/>
  <c r="C13" i="11" s="1"/>
  <c r="C12" i="12"/>
  <c r="I55" i="11"/>
  <c r="C17" i="11" s="1"/>
  <c r="J30" i="11"/>
  <c r="J27" i="11"/>
  <c r="J28" i="11"/>
  <c r="J29" i="11"/>
  <c r="C10" i="10"/>
  <c r="C11" i="10"/>
  <c r="C5" i="10"/>
  <c r="C6" i="10" s="1"/>
  <c r="B7" i="10" s="1"/>
  <c r="C11" i="9"/>
  <c r="D6" i="9"/>
  <c r="C10" i="9" s="1"/>
  <c r="C15" i="8"/>
  <c r="C16" i="8" s="1"/>
  <c r="C17" i="8" s="1"/>
  <c r="C18" i="8" s="1"/>
  <c r="C12" i="8"/>
  <c r="C16" i="7"/>
  <c r="J34" i="6"/>
  <c r="G24" i="6"/>
  <c r="I24" i="6" s="1"/>
  <c r="G23" i="6"/>
  <c r="I23" i="6" s="1"/>
  <c r="G22" i="6"/>
  <c r="I22" i="6" s="1"/>
  <c r="G21" i="6"/>
  <c r="I21" i="6" s="1"/>
  <c r="G20" i="6"/>
  <c r="I20" i="6" s="1"/>
  <c r="D4" i="5"/>
  <c r="D5" i="5"/>
  <c r="D6" i="5"/>
  <c r="D7" i="5"/>
  <c r="D3" i="5"/>
  <c r="I18" i="15" l="1"/>
  <c r="I9" i="15"/>
  <c r="J5" i="15" s="1"/>
  <c r="L5" i="15" s="1"/>
  <c r="J31" i="11"/>
  <c r="C11" i="11" s="1"/>
  <c r="C12" i="11" s="1"/>
  <c r="C14" i="11" s="1"/>
  <c r="C16" i="11" s="1"/>
  <c r="C18" i="11" s="1"/>
  <c r="C12" i="9"/>
  <c r="C12" i="10"/>
  <c r="C15" i="10" s="1"/>
  <c r="I25" i="6"/>
  <c r="H4" i="4"/>
  <c r="H22" i="3"/>
  <c r="J22" i="3" s="1"/>
  <c r="H21" i="3"/>
  <c r="J21" i="3" s="1"/>
  <c r="H20" i="3"/>
  <c r="J20" i="3" s="1"/>
  <c r="H19" i="3"/>
  <c r="J19" i="3" s="1"/>
  <c r="H8" i="3"/>
  <c r="J8" i="3" s="1"/>
  <c r="H7" i="3"/>
  <c r="J7" i="3" s="1"/>
  <c r="H6" i="3"/>
  <c r="J6" i="3" s="1"/>
  <c r="H5" i="3"/>
  <c r="J5" i="3" s="1"/>
  <c r="H4" i="3"/>
  <c r="J4" i="3" s="1"/>
  <c r="G34" i="2"/>
  <c r="I34" i="2" s="1"/>
  <c r="G40" i="2"/>
  <c r="I40" i="2" s="1"/>
  <c r="G39" i="2"/>
  <c r="I39" i="2" s="1"/>
  <c r="G38" i="2"/>
  <c r="I38" i="2" s="1"/>
  <c r="I37" i="2"/>
  <c r="G36" i="2"/>
  <c r="I36" i="2" s="1"/>
  <c r="G35" i="2"/>
  <c r="I35" i="2" s="1"/>
  <c r="G33" i="2"/>
  <c r="I33" i="2" s="1"/>
  <c r="G32" i="2"/>
  <c r="I32" i="2" s="1"/>
  <c r="G24" i="2"/>
  <c r="I24" i="2" s="1"/>
  <c r="I23" i="2"/>
  <c r="G26" i="2"/>
  <c r="I26" i="2" s="1"/>
  <c r="G25" i="2"/>
  <c r="I25" i="2" s="1"/>
  <c r="G22" i="2"/>
  <c r="I22" i="2" s="1"/>
  <c r="G21" i="2"/>
  <c r="I21" i="2" s="1"/>
  <c r="G20" i="2"/>
  <c r="I20" i="2" s="1"/>
  <c r="G19" i="2"/>
  <c r="I19" i="2" s="1"/>
  <c r="I8" i="2"/>
  <c r="G5" i="2"/>
  <c r="I5" i="2" s="1"/>
  <c r="G6" i="2"/>
  <c r="I6" i="2" s="1"/>
  <c r="G7" i="2"/>
  <c r="I7" i="2" s="1"/>
  <c r="G9" i="2"/>
  <c r="I9" i="2" s="1"/>
  <c r="G10" i="2"/>
  <c r="I10" i="2" s="1"/>
  <c r="G4" i="2"/>
  <c r="I4" i="2" s="1"/>
  <c r="J16" i="15" l="1"/>
  <c r="L16" i="15" s="1"/>
  <c r="J17" i="15"/>
  <c r="L17" i="15" s="1"/>
  <c r="J15" i="15"/>
  <c r="L15" i="15" s="1"/>
  <c r="J13" i="15"/>
  <c r="J14" i="15"/>
  <c r="L14" i="15" s="1"/>
  <c r="J6" i="15"/>
  <c r="L6" i="15" s="1"/>
  <c r="J8" i="15"/>
  <c r="L8" i="15" s="1"/>
  <c r="J4" i="15"/>
  <c r="J7" i="15"/>
  <c r="L7" i="15" s="1"/>
  <c r="C8" i="12"/>
  <c r="C13" i="12" s="1"/>
  <c r="C13" i="10"/>
  <c r="C14" i="10" s="1"/>
  <c r="D33" i="6"/>
  <c r="D32" i="6"/>
  <c r="H32" i="6" s="1"/>
  <c r="D34" i="6"/>
  <c r="J23" i="3"/>
  <c r="I41" i="2"/>
  <c r="J9" i="3"/>
  <c r="I27" i="2"/>
  <c r="I11" i="2"/>
  <c r="L13" i="15" l="1"/>
  <c r="L18" i="15" s="1"/>
  <c r="C10" i="15" s="1"/>
  <c r="K13" i="15"/>
  <c r="K14" i="15" s="1"/>
  <c r="K15" i="15" s="1"/>
  <c r="K16" i="15" s="1"/>
  <c r="K17" i="15" s="1"/>
  <c r="K4" i="15"/>
  <c r="K5" i="15" s="1"/>
  <c r="K6" i="15" s="1"/>
  <c r="K7" i="15" s="1"/>
  <c r="K8" i="15" s="1"/>
  <c r="L4" i="15"/>
  <c r="L9" i="15" s="1"/>
  <c r="C9" i="15" s="1"/>
  <c r="C4" i="12"/>
  <c r="C9" i="12" s="1"/>
  <c r="C6" i="12"/>
  <c r="C11" i="12" s="1"/>
  <c r="C5" i="12"/>
  <c r="C10" i="12" s="1"/>
  <c r="I32" i="6"/>
  <c r="J32" i="6" s="1"/>
  <c r="H34" i="6"/>
  <c r="I34" i="6" s="1"/>
  <c r="H33" i="6"/>
  <c r="I33" i="6" s="1"/>
  <c r="J33" i="6" s="1"/>
</calcChain>
</file>

<file path=xl/comments1.xml><?xml version="1.0" encoding="utf-8"?>
<comments xmlns="http://schemas.openxmlformats.org/spreadsheetml/2006/main">
  <authors>
    <author>Author</author>
  </authors>
  <commentList>
    <comment ref="C2" authorId="0" shapeId="0">
      <text>
        <r>
          <rPr>
            <b/>
            <sz val="9"/>
            <color indexed="81"/>
            <rFont val="Tahoma"/>
            <family val="2"/>
          </rPr>
          <t xml:space="preserve">
 گروه خطرپذیری ۱: وقفه در بهره برداری آنها به طور غیر مستقیم موجب افزایش تلفات و خسارات میشود. مانند بیمارستان ها 
 گروه خطرپذیری ۲: خرابی آنها منجر به تلفات جانی قابل توجه میشود. مانند مدارس 
 گروه خطرپذیری ۳: کلیه سازه های مسکونی و اداری و هتل و پارکینگ و ... 
گروه خطرپذیری ۴: خرابی آنها منجر به تلفات جانی و خسارات مالی کمی میشود. مانند انبار کشاورزی </t>
        </r>
      </text>
    </comment>
    <comment ref="C3" authorId="0" shapeId="0">
      <text>
        <r>
          <rPr>
            <b/>
            <sz val="9"/>
            <color indexed="81"/>
            <rFont val="Tahoma"/>
            <family val="2"/>
          </rPr>
          <t xml:space="preserve">
لطفا محل پروژه را انتخاب نمایید</t>
        </r>
      </text>
    </comment>
    <comment ref="C5" authorId="0" shapeId="0">
      <text>
        <r>
          <rPr>
            <b/>
            <sz val="9"/>
            <color indexed="81"/>
            <rFont val="Tahoma"/>
            <family val="2"/>
          </rPr>
          <t xml:space="preserve"> 
  ناهمواری زیاد: محیط های شهری و حومه، جنگل و باغ
  ناهمواری متوسط: محیط با موانع پراکنده
  ناهمواری کم: محیط بدون مانع مثل دریا، باتلاق و نمکزار 
  اگر ساختمان از تمام سختمان های اطرافش کوتاهتر باشد، برف گیر است.
  اگر فاصله اش از ساختمان بلندتر، از ۱۰ برابر اختلاف ارتفاع بیشتر باشد، برف ریز است.</t>
        </r>
      </text>
    </comment>
    <comment ref="C6" authorId="0" shapeId="0">
      <text>
        <r>
          <rPr>
            <b/>
            <sz val="9"/>
            <color indexed="81"/>
            <rFont val="Tahoma"/>
            <family val="2"/>
          </rPr>
          <t xml:space="preserve">  سطح لغزنده: پوشش فلزی، سنگ برگ، شیشه ای، لاستیکی، پلاستیکی، قیراندود
  سطح غیر لغزنده: پوشش آسفالتی، چوبی و آجری</t>
        </r>
      </text>
    </comment>
    <comment ref="D7" authorId="0" shapeId="0">
      <text>
        <r>
          <rPr>
            <b/>
            <sz val="9"/>
            <color indexed="81"/>
            <rFont val="Tahoma"/>
            <family val="2"/>
          </rPr>
          <t>نوع برف گیری منطقه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>آلفا صفر</t>
        </r>
      </text>
    </comment>
    <comment ref="D9" authorId="0" shapeId="0">
      <text>
        <r>
          <rPr>
            <b/>
            <sz val="9"/>
            <color indexed="81"/>
            <rFont val="Tahoma"/>
            <family val="2"/>
          </rPr>
          <t>آلفا، شیب</t>
        </r>
      </text>
    </comment>
  </commentList>
</comments>
</file>

<file path=xl/comments2.xml><?xml version="1.0" encoding="utf-8"?>
<comments xmlns="http://schemas.openxmlformats.org/spreadsheetml/2006/main">
  <authors>
    <author>Author</author>
  </authors>
  <commentList>
    <comment ref="C2" authorId="0" shapeId="0">
      <text>
        <r>
          <rPr>
            <b/>
            <sz val="9"/>
            <color indexed="81"/>
            <rFont val="Tahoma"/>
            <family val="2"/>
          </rPr>
          <t xml:space="preserve">
 گروه خطرپذیری ۱: وقفه در بهره برداری آنها به طور غیر مستقیم موجب افزایش تلفات و خسارات میشود. مانند بیمارستان ها 
 گروه خطرپذیری ۲: خرابی آنها منجر به تلفات جانی قابل توجه میشود. مانند مدارس 
 گروه خطرپذیری ۳: کلیه سازه های مسکونی و اداری و هتل و پارکینگ و ... 
گروه خطرپذیری ۴: خرابی آنها منجر به تلفات جانی و خسارات مالی کمی میشود. مانند انبار کشاورزی </t>
        </r>
      </text>
    </comment>
    <comment ref="C3" authorId="0" shapeId="0">
      <text>
        <r>
          <rPr>
            <b/>
            <sz val="9"/>
            <color indexed="81"/>
            <rFont val="Tahoma"/>
            <family val="2"/>
          </rPr>
          <t xml:space="preserve">
لطفا محل پروژه را انتخاب نمایید</t>
        </r>
      </text>
    </comment>
    <comment ref="F3" authorId="0" shapeId="0">
      <text>
        <r>
          <rPr>
            <b/>
            <sz val="9"/>
            <color indexed="81"/>
            <rFont val="Tahoma"/>
            <family val="2"/>
          </rPr>
          <t xml:space="preserve">
 منطقه لرزه خیزی</t>
        </r>
      </text>
    </comment>
    <comment ref="C5" authorId="0" shapeId="0">
      <text>
        <r>
          <rPr>
            <b/>
            <sz val="9"/>
            <color indexed="81"/>
            <rFont val="Tahoma"/>
            <family val="2"/>
          </rPr>
          <t>نوع‌ سیستم‌ سازه‌ ای</t>
        </r>
      </text>
    </comment>
    <comment ref="F5" authorId="0" shapeId="0">
      <text>
        <r>
          <rPr>
            <b/>
            <sz val="9"/>
            <color indexed="81"/>
            <rFont val="Tahoma"/>
            <family val="2"/>
          </rPr>
          <t>ضریب H</t>
        </r>
      </text>
    </comment>
    <comment ref="G5" authorId="0" shapeId="0">
      <text>
        <r>
          <rPr>
            <b/>
            <sz val="9"/>
            <color indexed="81"/>
            <rFont val="Tahoma"/>
            <family val="2"/>
          </rPr>
          <t>توان H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 xml:space="preserve">
  نوع I   : سنگ و شبه سنگ
  نوع II  : سنگ سست یا خاک خیلی متراکم
  نوع III : خاک متراکم تا متوسط
  نوع IV : خاک متوسط تا نرم</t>
        </r>
      </text>
    </comment>
    <comment ref="F14" authorId="0" shapeId="0">
      <text>
        <r>
          <rPr>
            <b/>
            <sz val="9"/>
            <color indexed="81"/>
            <rFont val="Tahoma"/>
            <family val="2"/>
          </rPr>
          <t xml:space="preserve"> 
 خطر نسبی کم و متوسط</t>
        </r>
      </text>
    </comment>
    <comment ref="G14" authorId="0" shapeId="0">
      <text>
        <r>
          <rPr>
            <b/>
            <sz val="9"/>
            <color indexed="81"/>
            <rFont val="Tahoma"/>
            <family val="2"/>
          </rPr>
          <t xml:space="preserve">
 خطر نسبی زیاد و خیلی زیاد</t>
        </r>
      </text>
    </comment>
    <comment ref="C16" authorId="0" shapeId="0">
      <text>
        <r>
          <rPr>
            <b/>
            <sz val="9"/>
            <color indexed="81"/>
            <rFont val="Tahoma"/>
          </rPr>
          <t xml:space="preserve">
 نوع سیستم سازه ای</t>
        </r>
      </text>
    </comment>
  </commentList>
</comments>
</file>

<file path=xl/comments3.xml><?xml version="1.0" encoding="utf-8"?>
<comments xmlns="http://schemas.openxmlformats.org/spreadsheetml/2006/main">
  <authors>
    <author>Author</author>
  </authors>
  <commentList>
    <comment ref="C2" authorId="0" shapeId="0">
      <text>
        <r>
          <rPr>
            <b/>
            <sz val="9"/>
            <color indexed="81"/>
            <rFont val="Tahoma"/>
            <family val="2"/>
          </rPr>
          <t xml:space="preserve">
 گروه خطرپذیری ۱: وقفه در بهره برداری آنها به طور غیر مستقیم موجب افزایش تلفات و خسارات میشود. مانند بیمارستان ها 
 گروه خطرپذیری ۲: خرابی آنها منجر به تلفات جانی قابل توجه میشود. مانند مدارس 
 گروه خطرپذیری ۳: کلیه سازه های مسکونی و اداری و هتل و پارکینگ و ... 
گروه خطرپذیری ۴: خرابی آنها منجر به تلفات جانی و خسارات مالی کمی میشود. مانند انبار کشاورزی </t>
        </r>
      </text>
    </comment>
    <comment ref="C3" authorId="0" shapeId="0">
      <text>
        <r>
          <rPr>
            <b/>
            <sz val="9"/>
            <color indexed="81"/>
            <rFont val="Tahoma"/>
            <family val="2"/>
          </rPr>
          <t xml:space="preserve">
لطفا محل پروژه را انتخاب نمایید</t>
        </r>
      </text>
    </comment>
    <comment ref="F3" authorId="0" shapeId="0">
      <text>
        <r>
          <rPr>
            <b/>
            <sz val="9"/>
            <color indexed="81"/>
            <rFont val="Tahoma"/>
            <family val="2"/>
          </rPr>
          <t xml:space="preserve">
 منطقه لرزه خیزی</t>
        </r>
      </text>
    </comment>
    <comment ref="C5" authorId="0" shapeId="0">
      <text>
        <r>
          <rPr>
            <b/>
            <sz val="9"/>
            <color indexed="81"/>
            <rFont val="Tahoma"/>
            <family val="2"/>
          </rPr>
          <t>نوع‌ سیستم‌ سازه‌ ای</t>
        </r>
      </text>
    </comment>
    <comment ref="F5" authorId="0" shapeId="0">
      <text>
        <r>
          <rPr>
            <b/>
            <sz val="9"/>
            <color indexed="81"/>
            <rFont val="Tahoma"/>
            <family val="2"/>
          </rPr>
          <t>ضریب H</t>
        </r>
      </text>
    </comment>
    <comment ref="G5" authorId="0" shapeId="0">
      <text>
        <r>
          <rPr>
            <b/>
            <sz val="9"/>
            <color indexed="81"/>
            <rFont val="Tahoma"/>
            <family val="2"/>
          </rPr>
          <t>توان H</t>
        </r>
      </text>
    </comment>
    <comment ref="D8" authorId="0" shapeId="0">
      <text>
        <r>
          <rPr>
            <b/>
            <sz val="9"/>
            <color indexed="81"/>
            <rFont val="Tahoma"/>
            <family val="2"/>
          </rPr>
          <t xml:space="preserve">
  نوع I   : سنگ و شبه سنگ
  نوع II  : سنگ سست یا خاک خیلی متراکم
  نوع III : خاک متراکم تا متوسط
  نوع IV : خاک متوسط تا نرم</t>
        </r>
      </text>
    </comment>
    <comment ref="F14" authorId="0" shapeId="0">
      <text>
        <r>
          <rPr>
            <b/>
            <sz val="9"/>
            <color indexed="81"/>
            <rFont val="Tahoma"/>
            <family val="2"/>
          </rPr>
          <t xml:space="preserve"> 
 خطر نسبی کم و متوسط</t>
        </r>
      </text>
    </comment>
    <comment ref="G14" authorId="0" shapeId="0">
      <text>
        <r>
          <rPr>
            <b/>
            <sz val="9"/>
            <color indexed="81"/>
            <rFont val="Tahoma"/>
            <family val="2"/>
          </rPr>
          <t xml:space="preserve">
 خطر نسبی زیاد و خیلی زیاد</t>
        </r>
      </text>
    </comment>
    <comment ref="C16" authorId="0" shapeId="0">
      <text>
        <r>
          <rPr>
            <b/>
            <sz val="9"/>
            <color indexed="81"/>
            <rFont val="Tahoma"/>
          </rPr>
          <t xml:space="preserve">
 نوع سیستم سازه ای</t>
        </r>
      </text>
    </comment>
  </commentList>
</comments>
</file>

<file path=xl/comments4.xml><?xml version="1.0" encoding="utf-8"?>
<comments xmlns="http://schemas.openxmlformats.org/spreadsheetml/2006/main">
  <authors>
    <author>Author</author>
  </authors>
  <commentList>
    <comment ref="D7" authorId="0" shapeId="0">
      <text>
        <r>
          <rPr>
            <b/>
            <sz val="9"/>
            <color indexed="81"/>
            <rFont val="Tahoma"/>
            <family val="2"/>
          </rPr>
          <t xml:space="preserve">
 حدود ۱۰ درصد یک تقریب مناسب است</t>
        </r>
      </text>
    </comment>
    <comment ref="D27" authorId="0" shapeId="0">
      <text>
        <r>
          <rPr>
            <b/>
            <sz val="9"/>
            <color indexed="81"/>
            <rFont val="Tahoma"/>
            <family val="2"/>
          </rPr>
          <t xml:space="preserve">
 حدود ۸ درصد یک تقریب مناسب است</t>
        </r>
      </text>
    </comment>
  </commentList>
</comments>
</file>

<file path=xl/sharedStrings.xml><?xml version="1.0" encoding="utf-8"?>
<sst xmlns="http://schemas.openxmlformats.org/spreadsheetml/2006/main" count="785" uniqueCount="407">
  <si>
    <t>مصالح</t>
  </si>
  <si>
    <t>نوع آجرکاری</t>
  </si>
  <si>
    <t>آجر توپر پخته رسی معمولی (آجر فشاری)</t>
  </si>
  <si>
    <t>آجر سوراخدار پخته رسی (آجر سفال)</t>
  </si>
  <si>
    <t>آجر ماسه آهکی متخلخل</t>
  </si>
  <si>
    <t>آجر ماسه آهکی توپر</t>
  </si>
  <si>
    <t>آجر نسوز</t>
  </si>
  <si>
    <t>آجر ضد اسید</t>
  </si>
  <si>
    <t>آجر شیشه ای مجوف</t>
  </si>
  <si>
    <t>آجر مجوف</t>
  </si>
  <si>
    <t>بلوک سیمانی</t>
  </si>
  <si>
    <t>نوع ملات</t>
  </si>
  <si>
    <t>ملات ماسه آهک</t>
  </si>
  <si>
    <t>ملات ماسه سیمان آهک (باتارد)</t>
  </si>
  <si>
    <t>ملات ماسه سیمان</t>
  </si>
  <si>
    <t>ملات گچ</t>
  </si>
  <si>
    <t>ملات خاک نسوز</t>
  </si>
  <si>
    <t>کاهگل</t>
  </si>
  <si>
    <t>ملات گچ و خاک</t>
  </si>
  <si>
    <t>ملات گل</t>
  </si>
  <si>
    <t>بتن ها</t>
  </si>
  <si>
    <t>بتن با شن و ماسه معمولی</t>
  </si>
  <si>
    <t>بتن آرمه و بتن پیش تنیده با شن و ماسه معمولی</t>
  </si>
  <si>
    <t>بتن با سرباره کوره آهن گدازی</t>
  </si>
  <si>
    <t>بتن های سبک هوادار و گازی</t>
  </si>
  <si>
    <t>بتن با سنگ دانه سبک</t>
  </si>
  <si>
    <t>بتن اسفنجی</t>
  </si>
  <si>
    <t>بتن با خرده آجر</t>
  </si>
  <si>
    <t>بتن با پوکه معدنی و سیمان</t>
  </si>
  <si>
    <t>بتن با پوکه صنعتی و سیمان</t>
  </si>
  <si>
    <t>پر کننده ها</t>
  </si>
  <si>
    <t>پوکه معدنی</t>
  </si>
  <si>
    <t>پوزولان ها</t>
  </si>
  <si>
    <t>پوکه کک</t>
  </si>
  <si>
    <t>سنگ ها</t>
  </si>
  <si>
    <t>سنگ گرانیت</t>
  </si>
  <si>
    <t>لاشه آذرین (تراشیت)</t>
  </si>
  <si>
    <t>ماسه سنگ ، لایه سنگ</t>
  </si>
  <si>
    <t>دولومیت ، مرمر</t>
  </si>
  <si>
    <t>آهکی فشرده ، گل سنگ آهکی (شیل)</t>
  </si>
  <si>
    <t>تراورتن</t>
  </si>
  <si>
    <t>اسلیت ، تخته سنگ</t>
  </si>
  <si>
    <t>سنگ چینی با سنگ لاشه آهکی توپر</t>
  </si>
  <si>
    <t>سنگ چینی با سنگ توف</t>
  </si>
  <si>
    <t>بنائی با آجر و بلوک</t>
  </si>
  <si>
    <t>آجرکاری با آجر فشاری و ملات ماسه سیمان</t>
  </si>
  <si>
    <t>آجرکاری با آجر فشاری و ملات ماسه آهک</t>
  </si>
  <si>
    <t>آجرکاری با آجر فشاری و ملات گچ و خاک (طاق ضربی)</t>
  </si>
  <si>
    <t>آجرکاری با آجر سفال و ملات ماسه سیمان (سوراخ ها با ملات پر شود)</t>
  </si>
  <si>
    <t>آجرکاری با آجر سفال و ملات ماسه آهک (سوراخ ها با ملات پر شود)</t>
  </si>
  <si>
    <t>آجرکاری با آجر مجوف و ملات ماسه سیمان</t>
  </si>
  <si>
    <t>آجرکاری با آجر نسوز و ملات نسوز</t>
  </si>
  <si>
    <t>آجرکاری با آجر ضد اسید و ملات قیری</t>
  </si>
  <si>
    <t>پوشش ها</t>
  </si>
  <si>
    <t>آسفالت</t>
  </si>
  <si>
    <t>سنگ موزائیک</t>
  </si>
  <si>
    <t>قیر</t>
  </si>
  <si>
    <t>کاشی سرامیک دیواری</t>
  </si>
  <si>
    <t>کاشی سرامیک کفی</t>
  </si>
  <si>
    <t>پوشش شیروانی با سفال</t>
  </si>
  <si>
    <t>گونی قیراندود یک لا</t>
  </si>
  <si>
    <t>گونی قیراندود دو لا</t>
  </si>
  <si>
    <t>سقف کاذب با اندود سیمانی</t>
  </si>
  <si>
    <t>سقف کاذب با اندود گچی</t>
  </si>
  <si>
    <t>بلوک</t>
  </si>
  <si>
    <t>جرم مخصوص (کیلوگرم بر مترمکعب)</t>
  </si>
  <si>
    <t>تیرآهن ۱۶</t>
  </si>
  <si>
    <t>(کیلوگرم بر مترمکعب)</t>
  </si>
  <si>
    <t>جرم مخصوص</t>
  </si>
  <si>
    <t>ضخامت</t>
  </si>
  <si>
    <t>(میلی متر)</t>
  </si>
  <si>
    <t>وزن واحد سطح</t>
  </si>
  <si>
    <t>(کیلوگرم بر مترمربع)</t>
  </si>
  <si>
    <t>وزن واحد سطح کل</t>
  </si>
  <si>
    <t>تعداد طبقات</t>
  </si>
  <si>
    <t>&lt;= ۵</t>
  </si>
  <si>
    <t xml:space="preserve"> نیازی به درنظرگرفتن وزن تاسیسات نیست</t>
  </si>
  <si>
    <t>&gt; ۵</t>
  </si>
  <si>
    <t>یک بارگسترده ۲۰ تا ۳۰ کیلوگرم بر مترمربع</t>
  </si>
  <si>
    <t>یک برآورد مناسب است</t>
  </si>
  <si>
    <t>بار مرده تاسیسات</t>
  </si>
  <si>
    <t>بام ها</t>
  </si>
  <si>
    <t>بام های معمولی تخت، شیبدار و قوسی</t>
  </si>
  <si>
    <t>بام با پوشش سبک</t>
  </si>
  <si>
    <t>بام های دارای باغچه و گلخانه</t>
  </si>
  <si>
    <t>بام هایی با پوشش پارچه ای با سازه اسکلتی</t>
  </si>
  <si>
    <t>بام هایی با امکان تجمع و ازدحام</t>
  </si>
  <si>
    <t>قاب های نگهدارنده یک فضابند</t>
  </si>
  <si>
    <t>بسته به نوع کاربری</t>
  </si>
  <si>
    <t>۰.۲۵ (غیر قابل کاهش)</t>
  </si>
  <si>
    <t>سالن ها</t>
  </si>
  <si>
    <t>سالن های عمومی و محل های تجمع دارای صندلی های ثابت (چسبیده به زمین)</t>
  </si>
  <si>
    <t>سالن های عمومی و محل های تجمع فاقد صندلی های ثابت</t>
  </si>
  <si>
    <t>سالن های غذاخوری و رستوران ها</t>
  </si>
  <si>
    <t>سالن انتظار و ملاقات</t>
  </si>
  <si>
    <t>سینماها و تئاترها</t>
  </si>
  <si>
    <t>صحنه سینماها و تئاترها</t>
  </si>
  <si>
    <t xml:space="preserve"> سالن های اجرای مراسم گروهی، اجرای سرود و ...</t>
  </si>
  <si>
    <t>شبستان مساجد و تکایا</t>
  </si>
  <si>
    <t>پایانه های مسافربری</t>
  </si>
  <si>
    <t>راهرو ها</t>
  </si>
  <si>
    <t>راهرو های مراکز تجمع و ازدحام واقع در طبقه همکف (ورودی)</t>
  </si>
  <si>
    <t>راهرو های مراکز تجمع و ازدحام واقع در سایر طبقات</t>
  </si>
  <si>
    <t>راهرو دسترسی برای امور تعمیر و نگهداری تاسیسات</t>
  </si>
  <si>
    <t>راه پله ها</t>
  </si>
  <si>
    <t>راه پله و راه های منتهی به درب های خروجی</t>
  </si>
  <si>
    <t>راه پله اضطراری</t>
  </si>
  <si>
    <t>مطابق بار زنده اتاق های مجاور</t>
  </si>
  <si>
    <t>بالکن ها</t>
  </si>
  <si>
    <t xml:space="preserve"> معادل ۱.۵ برابر بار زنده کف اتاق های متصل به آنها، اما نه بیشتر از ۵</t>
  </si>
  <si>
    <t>نوع کاربری</t>
  </si>
  <si>
    <t>بار گسترده (کیلونیوتن بر مترمربع)</t>
  </si>
  <si>
    <t>ستون ها</t>
  </si>
  <si>
    <t>ستون کناری با دال طره ای</t>
  </si>
  <si>
    <t>ستون گوشه با دال طره ای</t>
  </si>
  <si>
    <t>تیر داخلی</t>
  </si>
  <si>
    <t>تیر ها</t>
  </si>
  <si>
    <t>تیر کناری بدون دال طره ای</t>
  </si>
  <si>
    <t>تیر کناری با دال طره ای</t>
  </si>
  <si>
    <t>تیر طره ای</t>
  </si>
  <si>
    <t>دال یک طرفه</t>
  </si>
  <si>
    <t>دال دو طرفه</t>
  </si>
  <si>
    <t>دال ها</t>
  </si>
  <si>
    <t>سایر اعضاء</t>
  </si>
  <si>
    <t>جزء سازه ای</t>
  </si>
  <si>
    <r>
      <t>K</t>
    </r>
    <r>
      <rPr>
        <vertAlign val="subscript"/>
        <sz val="16"/>
        <color theme="1"/>
        <rFont val="MV Boli"/>
      </rPr>
      <t>LL</t>
    </r>
  </si>
  <si>
    <r>
      <t>K</t>
    </r>
    <r>
      <rPr>
        <b/>
        <vertAlign val="subscript"/>
        <sz val="16"/>
        <color theme="1"/>
        <rFont val="MV Boli"/>
      </rPr>
      <t>LL</t>
    </r>
  </si>
  <si>
    <t>بام</t>
  </si>
  <si>
    <t>طبقات</t>
  </si>
  <si>
    <t>بار زنده (کیلونیوتن بر مترمربع)</t>
  </si>
  <si>
    <t>وزن واحد سطح تیغه (w)</t>
  </si>
  <si>
    <t>ارتفاع تیغه ها</t>
  </si>
  <si>
    <t>مجموع طول تیغه ها</t>
  </si>
  <si>
    <t>مساحت کف</t>
  </si>
  <si>
    <t>بار معادل تیغه بندی (q)</t>
  </si>
  <si>
    <t>کنترل شروط آئین نامه</t>
  </si>
  <si>
    <t>بار نهایی معادل تیغه بندی</t>
  </si>
  <si>
    <t>بار زنده طبقه</t>
  </si>
  <si>
    <t>کیلوگرم بر مترمربع</t>
  </si>
  <si>
    <t>متر</t>
  </si>
  <si>
    <t>مترمربع</t>
  </si>
  <si>
    <t>طبقه</t>
  </si>
  <si>
    <t>دوم</t>
  </si>
  <si>
    <t>سوم</t>
  </si>
  <si>
    <t>اول</t>
  </si>
  <si>
    <t>ستون خارجی بدون دال طره ای</t>
  </si>
  <si>
    <t>L</t>
  </si>
  <si>
    <t>برای عضوی که بار دو طبقه یا بیشتر را تحمل میکند حداکثر تا ۶۰٪ میتوان بار زنده را کاهش داد</t>
  </si>
  <si>
    <t>برای عضوی که بار یک طبقه را تحمل میکند حداکثر تا ۴۰٪ میتوان بار زنده را کاهش داد</t>
  </si>
  <si>
    <t xml:space="preserve">   تعداد طبقاتی که عضو بار آنها را تحمل میکند (شامل بام)</t>
  </si>
  <si>
    <t>شروط آئین نامه</t>
  </si>
  <si>
    <r>
      <t>L</t>
    </r>
    <r>
      <rPr>
        <vertAlign val="subscript"/>
        <sz val="16"/>
        <color theme="1"/>
        <rFont val="MV Boli"/>
      </rPr>
      <t>0</t>
    </r>
  </si>
  <si>
    <r>
      <t>(به جز بام) A</t>
    </r>
    <r>
      <rPr>
        <vertAlign val="subscript"/>
        <sz val="16"/>
        <color theme="1"/>
        <rFont val="MV Boli"/>
      </rPr>
      <t>t</t>
    </r>
  </si>
  <si>
    <t>متر مربع</t>
  </si>
  <si>
    <t>ستون داخلی</t>
  </si>
  <si>
    <r>
      <t>R</t>
    </r>
    <r>
      <rPr>
        <vertAlign val="subscript"/>
        <sz val="16"/>
        <color theme="1"/>
        <rFont val="MV Boli"/>
      </rPr>
      <t>1</t>
    </r>
  </si>
  <si>
    <r>
      <t>R</t>
    </r>
    <r>
      <rPr>
        <vertAlign val="subscript"/>
        <sz val="16"/>
        <color theme="1"/>
        <rFont val="MV Boli"/>
      </rPr>
      <t>2</t>
    </r>
  </si>
  <si>
    <t>l</t>
  </si>
  <si>
    <t>h</t>
  </si>
  <si>
    <t>s</t>
  </si>
  <si>
    <t>%</t>
  </si>
  <si>
    <r>
      <t>L = L</t>
    </r>
    <r>
      <rPr>
        <vertAlign val="subscript"/>
        <sz val="16"/>
        <color theme="1"/>
        <rFont val="MV Boli"/>
      </rPr>
      <t>0</t>
    </r>
    <r>
      <rPr>
        <sz val="16"/>
        <color theme="1"/>
        <rFont val="MV Boli"/>
      </rPr>
      <t xml:space="preserve"> * R</t>
    </r>
    <r>
      <rPr>
        <vertAlign val="subscript"/>
        <sz val="16"/>
        <color theme="1"/>
        <rFont val="MV Boli"/>
      </rPr>
      <t>1</t>
    </r>
    <r>
      <rPr>
        <sz val="16"/>
        <color theme="1"/>
        <rFont val="MV Boli"/>
      </rPr>
      <t xml:space="preserve"> * R</t>
    </r>
    <r>
      <rPr>
        <vertAlign val="subscript"/>
        <sz val="16"/>
        <color theme="1"/>
        <rFont val="MV Boli"/>
      </rPr>
      <t>2</t>
    </r>
  </si>
  <si>
    <t>L &gt;=</t>
  </si>
  <si>
    <t>L &lt;=</t>
  </si>
  <si>
    <t xml:space="preserve"> </t>
  </si>
  <si>
    <t>Is</t>
  </si>
  <si>
    <t>Ie</t>
  </si>
  <si>
    <t>Iw</t>
  </si>
  <si>
    <t>Ii</t>
  </si>
  <si>
    <t>Pg</t>
  </si>
  <si>
    <t>Ct</t>
  </si>
  <si>
    <t>Ce</t>
  </si>
  <si>
    <t>Cs</t>
  </si>
  <si>
    <t>شهر</t>
  </si>
  <si>
    <t>آستارا</t>
  </si>
  <si>
    <t>اراک</t>
  </si>
  <si>
    <t>اردبیل</t>
  </si>
  <si>
    <t>تهران</t>
  </si>
  <si>
    <t>تبریز</t>
  </si>
  <si>
    <t>اصفهان</t>
  </si>
  <si>
    <t>کرمانشاه</t>
  </si>
  <si>
    <t>مشهد</t>
  </si>
  <si>
    <t>اهواز</t>
  </si>
  <si>
    <t>بوشهر</t>
  </si>
  <si>
    <t>منطقه برفی</t>
  </si>
  <si>
    <t>بار برف روی زمین (کیلونیوتن بر مترمربع)</t>
  </si>
  <si>
    <t>نوع سازه از نظر دما</t>
  </si>
  <si>
    <t>سازه هایی که دمای آنها همیشه زیر صفر درجه سانتی گراد نگه داشته میشود</t>
  </si>
  <si>
    <t>سازه هایی که دمای آنها همیشه بالای صفر درجه سانتی گراد نگه داشته میشود</t>
  </si>
  <si>
    <t>سازه های با زیر بام باز و سازه های بدون گرمایش</t>
  </si>
  <si>
    <t>بقیه سازه ها</t>
  </si>
  <si>
    <t>Column 1</t>
  </si>
  <si>
    <t>سطح بام</t>
  </si>
  <si>
    <t>لغزنده و بدون مانع</t>
  </si>
  <si>
    <t>سایر بام ها</t>
  </si>
  <si>
    <t>ناهمواری محیط زیاد، بام برف ریز</t>
  </si>
  <si>
    <t>ناهمواری محیط زیاد، بام نیمه برف گیر</t>
  </si>
  <si>
    <t>ناهمواری محیط زیاد، بام برف گیر</t>
  </si>
  <si>
    <t>ناهمواری محیط متوسط، بام برف ریز</t>
  </si>
  <si>
    <t>ناهمواری محیط متوسط، بام نیمه برف گیر</t>
  </si>
  <si>
    <t>ناهمواری محیط متوسط، بام برف گیر</t>
  </si>
  <si>
    <t>ناهمواری محیط کم، بام برف ریز</t>
  </si>
  <si>
    <t>ناهمواری محیط کم، بام نیمه برف گیر</t>
  </si>
  <si>
    <t>ناهمواری محیط کم، بام برف گیر</t>
  </si>
  <si>
    <t xml:space="preserve">Pr </t>
  </si>
  <si>
    <t>α</t>
  </si>
  <si>
    <r>
      <t>α</t>
    </r>
    <r>
      <rPr>
        <vertAlign val="subscript"/>
        <sz val="16"/>
        <color theme="1"/>
        <rFont val="Calibri"/>
        <family val="2"/>
      </rPr>
      <t>0</t>
    </r>
  </si>
  <si>
    <t>Pm</t>
  </si>
  <si>
    <t>α &lt;</t>
  </si>
  <si>
    <r>
      <t xml:space="preserve">α </t>
    </r>
    <r>
      <rPr>
        <sz val="16"/>
        <color theme="1"/>
        <rFont val="Calibri"/>
        <family val="2"/>
      </rPr>
      <t>≥</t>
    </r>
  </si>
  <si>
    <t>P = max(Pr,Pm)</t>
  </si>
  <si>
    <t>P = Pr</t>
  </si>
  <si>
    <t>H</t>
  </si>
  <si>
    <t>hb</t>
  </si>
  <si>
    <t>hc</t>
  </si>
  <si>
    <t>γ</t>
  </si>
  <si>
    <t>L1</t>
  </si>
  <si>
    <t>L2</t>
  </si>
  <si>
    <t>hd (انباشتگی پشت به باد)</t>
  </si>
  <si>
    <t>hd (انباشتگی رو به باد)</t>
  </si>
  <si>
    <t>hd نهایی</t>
  </si>
  <si>
    <t>w</t>
  </si>
  <si>
    <t>w نهایی</t>
  </si>
  <si>
    <t>Pd</t>
  </si>
  <si>
    <t>کیلونیوتن بر مترمربع</t>
  </si>
  <si>
    <t>کیلونیوتن بر مترمکعب</t>
  </si>
  <si>
    <t>بار زنده راه پله</t>
  </si>
  <si>
    <t>L3</t>
  </si>
  <si>
    <t>L4</t>
  </si>
  <si>
    <t>S1</t>
  </si>
  <si>
    <t>S2</t>
  </si>
  <si>
    <t>ارتفاع پله</t>
  </si>
  <si>
    <t>کف پله</t>
  </si>
  <si>
    <t>زاویه شیب رمپ</t>
  </si>
  <si>
    <t>وزن رمپ و پله ها در امتداد شیب رمپ</t>
  </si>
  <si>
    <t>وزن رمپ و پله ها در امتداد قائم</t>
  </si>
  <si>
    <t>وزن پاگرد</t>
  </si>
  <si>
    <t>بار متمرکز مرده</t>
  </si>
  <si>
    <t>بار متمرکز زنده</t>
  </si>
  <si>
    <t>کیلوگرم</t>
  </si>
  <si>
    <t>طول</t>
  </si>
  <si>
    <t>وزن واحد طول</t>
  </si>
  <si>
    <t>(کیلوگرم بر متر)</t>
  </si>
  <si>
    <t>S</t>
  </si>
  <si>
    <t>ts</t>
  </si>
  <si>
    <t>d</t>
  </si>
  <si>
    <t>tf</t>
  </si>
  <si>
    <t>t</t>
  </si>
  <si>
    <t>(سانتی متر)</t>
  </si>
  <si>
    <t>وزن پله ها در امتداد شیب رمپ</t>
  </si>
  <si>
    <t>وزن واحد  طول کل</t>
  </si>
  <si>
    <t>کیلوگرم بر متر</t>
  </si>
  <si>
    <t>وزن یک پله در عرض یک متر</t>
  </si>
  <si>
    <t>وزن رمپ در امتداد شیب رمپ</t>
  </si>
  <si>
    <t>مساحت سقف خرپشته</t>
  </si>
  <si>
    <t xml:space="preserve"> ارتفاع دیوارهای خرپشته</t>
  </si>
  <si>
    <t xml:space="preserve"> وزن واحد سطح دیوارهای نمادار خرپشته</t>
  </si>
  <si>
    <t xml:space="preserve"> وزن واحد سطح دیوارهای بدون نمای خرپشته</t>
  </si>
  <si>
    <t xml:space="preserve"> بار مرده سقف خرپشته</t>
  </si>
  <si>
    <t xml:space="preserve"> بار زنده سقف خرپشته</t>
  </si>
  <si>
    <t xml:space="preserve"> بار برف سقف خرپشته</t>
  </si>
  <si>
    <t>بار خطی دیوارهای نمادار خرپشته</t>
  </si>
  <si>
    <t>بار خطی دیوارهای بدون نمای خرپشته</t>
  </si>
  <si>
    <t>بار متمرکز ناشی از بار مرده سقف</t>
  </si>
  <si>
    <t>بار متمرکز ناشی از بار زنده سقف</t>
  </si>
  <si>
    <t>بار متمرکز ناشی از بار برف</t>
  </si>
  <si>
    <t>نوع پوشش (تراکم)</t>
  </si>
  <si>
    <t>زمین باز</t>
  </si>
  <si>
    <t>زمین پرتراکم</t>
  </si>
  <si>
    <t>گروه خطرپذیری</t>
  </si>
  <si>
    <t xml:space="preserve">گروه خطرپذیری ۴ </t>
  </si>
  <si>
    <t xml:space="preserve">گروه خطرپذیری ۳ </t>
  </si>
  <si>
    <t xml:space="preserve">گروه خطرپذیری ۲ </t>
  </si>
  <si>
    <t xml:space="preserve">گروه خطرپذیری ۱ </t>
  </si>
  <si>
    <t>H (ارتفاع مبنای ساختمان)</t>
  </si>
  <si>
    <t>نوع‌ سیستم‌ سازه‌ ای</t>
  </si>
  <si>
    <t>ضریب H</t>
  </si>
  <si>
    <t>توان H</t>
  </si>
  <si>
    <t>قاب خمشی بتنی بدون ممانعت جداگر میانقابی در حرکت</t>
  </si>
  <si>
    <t>قاب خمشی بتنی با ممانعت جداگر میانقابی در حرکت</t>
  </si>
  <si>
    <t>قاب خمشی فولادی بدون ممانعت جداگر میانقابی در حرکت</t>
  </si>
  <si>
    <t>قاب خمشی فولادی با ممانعت جداگر میانقابی در حرکت</t>
  </si>
  <si>
    <t>سایر سیستم های ساختمانی</t>
  </si>
  <si>
    <t>قاب ساختمانی ساده با مهاربند واگرا</t>
  </si>
  <si>
    <t>تجربی T</t>
  </si>
  <si>
    <t>تحلیلی T</t>
  </si>
  <si>
    <t>T</t>
  </si>
  <si>
    <t>I</t>
  </si>
  <si>
    <t>II</t>
  </si>
  <si>
    <t>III</t>
  </si>
  <si>
    <t>IV</t>
  </si>
  <si>
    <t>نوع زمین</t>
  </si>
  <si>
    <r>
      <t>T</t>
    </r>
    <r>
      <rPr>
        <vertAlign val="subscript"/>
        <sz val="16"/>
        <color theme="1"/>
        <rFont val="MV Boli"/>
      </rPr>
      <t>0</t>
    </r>
  </si>
  <si>
    <t>خطر نسبی زیاد و خیلی زیاد</t>
  </si>
  <si>
    <t>خطر نسبی کم و متوسط</t>
  </si>
  <si>
    <t>So2</t>
  </si>
  <si>
    <t>نوع زمین سازه</t>
  </si>
  <si>
    <r>
      <t>T</t>
    </r>
    <r>
      <rPr>
        <vertAlign val="subscript"/>
        <sz val="16"/>
        <color theme="1"/>
        <rFont val="MV Boli"/>
      </rPr>
      <t>S</t>
    </r>
  </si>
  <si>
    <t>همدان</t>
  </si>
  <si>
    <t>خرمشهر</t>
  </si>
  <si>
    <t>دیواندره</t>
  </si>
  <si>
    <r>
      <t>S</t>
    </r>
    <r>
      <rPr>
        <vertAlign val="subscript"/>
        <sz val="16"/>
        <color theme="1"/>
        <rFont val="MV Boli"/>
      </rPr>
      <t>0</t>
    </r>
  </si>
  <si>
    <t>احتمالا آیین نامه اشتباه چاپی دارد و جای این دو برعکس است</t>
  </si>
  <si>
    <r>
      <t>B</t>
    </r>
    <r>
      <rPr>
        <vertAlign val="subscript"/>
        <sz val="16"/>
        <color theme="1"/>
        <rFont val="MV Boli"/>
      </rPr>
      <t>1</t>
    </r>
  </si>
  <si>
    <t>N</t>
  </si>
  <si>
    <t>B</t>
  </si>
  <si>
    <t>Ru</t>
  </si>
  <si>
    <t>نوع سیستم سازه ای</t>
  </si>
  <si>
    <t>سیستم قاب ساختمانی ـ دیوارهای برشی بتن آرمه معمولی</t>
  </si>
  <si>
    <t>سیستم قاب ساختمانی ـ دیوارهای برشی بتن آرمه متوسط</t>
  </si>
  <si>
    <t>سیستم قاب ساختمانی ـ دیوارهای برشی بتن آرمه ویژه</t>
  </si>
  <si>
    <t>سیستم قاب ساختمانی ـ مهاربندی واگرای ویژه فولادی</t>
  </si>
  <si>
    <t>سیستم قاب ساختمانی ـ مهاربندی کمانش تاب</t>
  </si>
  <si>
    <t>سیستم قاب ساختمانی ـ مهاربندی همگرای ویژه فولادی</t>
  </si>
  <si>
    <t>سیستم قاب ساختمانی ـ مهاربندی همگرای معمولی فولادی</t>
  </si>
  <si>
    <t>سیستم قاب خمشی ـ قاب خمشی بتن آرمه معمولی</t>
  </si>
  <si>
    <t>سیستم قاب خمشی ـ قاب خمشی بتن آرمه ویژه</t>
  </si>
  <si>
    <t>سیستم قاب خمشی ـ قاب خمشی بتن آرمه متوسط</t>
  </si>
  <si>
    <t>سیستم قاب خمشی ـ قاب خمشی فولادی ویژه</t>
  </si>
  <si>
    <t>سیستم قاب خمشی ـ قاب خمشی فولادی متوسط</t>
  </si>
  <si>
    <t>سیستم قاب خمشی ـ قاب خمشی فولادی معمولی</t>
  </si>
  <si>
    <t>سیستم دوگانه یا ترکیبی : قاب خمشی ویژه + دیوارهای برشی بتن آرمه ویژه</t>
  </si>
  <si>
    <t>سیستم دوگانه یا ترکیبی : قاب خمشی بتن آرمه متوسط + دیوارهای برشی بتن آرمه ویژه</t>
  </si>
  <si>
    <t>سیستم دوگانه یا ترکیبی : قاب خمشی بتن آرمه متوسط + دیوارهای برشی بتن آرمه متوسط</t>
  </si>
  <si>
    <t>سیستم دوگانه یا ترکیبی : قاب خمشی فولادی متوسط + دیوارهای برشی بتن آرمه متوسط</t>
  </si>
  <si>
    <t>A (شتاب مبنای طرح)</t>
  </si>
  <si>
    <t>A (g)</t>
  </si>
  <si>
    <t>توصیف</t>
  </si>
  <si>
    <t>پهنه با خطر نسبی خیلی زیاد</t>
  </si>
  <si>
    <t>پهنه با خطر نسبی زیاد</t>
  </si>
  <si>
    <t>پهنه با خطر نسبی متوسط</t>
  </si>
  <si>
    <t>پهنه با خطر نسبی کم</t>
  </si>
  <si>
    <t>منطقه لرزه خیزی</t>
  </si>
  <si>
    <t>(g)</t>
  </si>
  <si>
    <t>بار مرده سقف</t>
  </si>
  <si>
    <t>بار زنده سقف</t>
  </si>
  <si>
    <t>نوع کف</t>
  </si>
  <si>
    <t>درصد مشارکت بار زنده</t>
  </si>
  <si>
    <t>درصد وزن اسکلت نسبت به بار مرده طبقه</t>
  </si>
  <si>
    <t>روی طبقه</t>
  </si>
  <si>
    <t>زیر طبقه</t>
  </si>
  <si>
    <t>بار دیوارهای خارجی نما</t>
  </si>
  <si>
    <t>ارتفاع دیوارهای خارجی نما</t>
  </si>
  <si>
    <t>طول دیوارهای خارجی نما</t>
  </si>
  <si>
    <t>بار دیوارهای خارجی غیر نما</t>
  </si>
  <si>
    <t>ارتفاع دیوارهای خارجی غیر نما</t>
  </si>
  <si>
    <t>طول دیوارهای خارجی غیر نما</t>
  </si>
  <si>
    <t>بار دیوارهای تیغه</t>
  </si>
  <si>
    <t>ارتفاع دیوارهای تیغه</t>
  </si>
  <si>
    <t>طول دیوارهای تیغه</t>
  </si>
  <si>
    <t>درصد مشارکت</t>
  </si>
  <si>
    <t>بام ساختمان ها در مناطق با برف زیاد، سنگین و فوق سنگین</t>
  </si>
  <si>
    <t>بام ساختمان ها در سایر مناطق</t>
  </si>
  <si>
    <t>ساختمان های مسکونی، اداری، هتل ها و پارکینگ ها</t>
  </si>
  <si>
    <t>بیمارستان ها، مدارس، فروشگاه ها، ساختمان های محل تجمع یا ازدحام</t>
  </si>
  <si>
    <t>کتابخانه و انبار ها</t>
  </si>
  <si>
    <t>مخازن آب یا سایر مایعات</t>
  </si>
  <si>
    <t>وزن لرزه ای طبقه</t>
  </si>
  <si>
    <t>تن</t>
  </si>
  <si>
    <t xml:space="preserve">کیلوگرم بر مترمربع </t>
  </si>
  <si>
    <t xml:space="preserve">مترمربع </t>
  </si>
  <si>
    <t xml:space="preserve"> %</t>
  </si>
  <si>
    <t xml:space="preserve">تن </t>
  </si>
  <si>
    <t>بار برف</t>
  </si>
  <si>
    <t>بار دیوارهای جان پناه</t>
  </si>
  <si>
    <t>ارتفاع دیوارهای جان پناه</t>
  </si>
  <si>
    <t>طول دیوارهای جان پناه</t>
  </si>
  <si>
    <t>وزن لرزه ای بام</t>
  </si>
  <si>
    <t>درصد مشارکت بار زنده و برف</t>
  </si>
  <si>
    <t>خرپشته</t>
  </si>
  <si>
    <t>وزن لرزه ای خرپشته</t>
  </si>
  <si>
    <t>وزن کل ساختمان</t>
  </si>
  <si>
    <t>طبقه سوم</t>
  </si>
  <si>
    <t>طبقه دوم</t>
  </si>
  <si>
    <t>طبقه اول</t>
  </si>
  <si>
    <t>برش پایه در راستای X</t>
  </si>
  <si>
    <t>برش پایه در راستای Y</t>
  </si>
  <si>
    <t xml:space="preserve">ثانیه </t>
  </si>
  <si>
    <t>Kx</t>
  </si>
  <si>
    <t>Ky</t>
  </si>
  <si>
    <t>Tx</t>
  </si>
  <si>
    <t>Ty</t>
  </si>
  <si>
    <t>Wi</t>
  </si>
  <si>
    <t>hi</t>
  </si>
  <si>
    <t>Wi hi^Kx</t>
  </si>
  <si>
    <t>∑</t>
  </si>
  <si>
    <t>fu,i</t>
  </si>
  <si>
    <t>تعیین وضعیت خرپشته</t>
  </si>
  <si>
    <t>Wi hi^Ky</t>
  </si>
  <si>
    <t>Vu,i</t>
  </si>
  <si>
    <t xml:space="preserve"> توزیع برش در ارتفاع در راستای Y </t>
  </si>
  <si>
    <t xml:space="preserve"> توزیع برش در ارتفاع در راستای X </t>
  </si>
  <si>
    <t>Mu,i</t>
  </si>
  <si>
    <t>لنگر واژگونی  در راستای X</t>
  </si>
  <si>
    <t>لنگر واژگونی  در راستای Y</t>
  </si>
  <si>
    <t>تن ـ متر</t>
  </si>
  <si>
    <t>(Check)</t>
  </si>
  <si>
    <t xml:space="preserve">متر </t>
  </si>
  <si>
    <t>ضریب لرزه ای  Cx</t>
  </si>
  <si>
    <t>ضریب لرزه ای  Cy</t>
  </si>
  <si>
    <r>
      <t>R</t>
    </r>
    <r>
      <rPr>
        <vertAlign val="subscript"/>
        <sz val="16"/>
        <color theme="1"/>
        <rFont val="MV Boli"/>
      </rPr>
      <t>u,x</t>
    </r>
  </si>
  <si>
    <r>
      <t>R</t>
    </r>
    <r>
      <rPr>
        <vertAlign val="subscript"/>
        <sz val="16"/>
        <color theme="1"/>
        <rFont val="MV Boli"/>
      </rPr>
      <t>u,y</t>
    </r>
  </si>
  <si>
    <t>ضریب زلزله در راستای Cx  X</t>
  </si>
  <si>
    <t>ضریب زلزله در راستای Cy  Y</t>
  </si>
  <si>
    <r>
      <t xml:space="preserve">ضریب درجه نامعینی </t>
    </r>
    <r>
      <rPr>
        <i/>
        <sz val="16"/>
        <color theme="1"/>
        <rFont val="MV Boli"/>
      </rPr>
      <t>ρ</t>
    </r>
    <r>
      <rPr>
        <sz val="16"/>
        <color theme="1"/>
        <rFont val="MV Boli"/>
      </rPr>
      <t>y  Y</t>
    </r>
  </si>
  <si>
    <r>
      <t xml:space="preserve">ضریب درجه نامعینی </t>
    </r>
    <r>
      <rPr>
        <i/>
        <sz val="16"/>
        <color theme="1"/>
        <rFont val="MV Boli"/>
      </rPr>
      <t>ρ</t>
    </r>
    <r>
      <rPr>
        <sz val="16"/>
        <color theme="1"/>
        <rFont val="MV Boli"/>
      </rPr>
      <t>x  X</t>
    </r>
  </si>
  <si>
    <t>وزن لرزه ای ساختمان   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</si>
</sst>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164" formatCode="[$-3000401]0"/>
    <numFmt numFmtId="165" formatCode="[$-3000401]0.00"/>
    <numFmt numFmtId="166" formatCode="[$-3000401]0.#"/>
    <numFmt numFmtId="167" formatCode="[$-3000401]0.##"/>
    <numFmt numFmtId="168" formatCode="[$-3000401]0.0"/>
    <numFmt numFmtId="169" formatCode="[$-3000401]0.000"/>
  </numFmts>
  <fonts count="19" x14ac:knownFonts="1">
    <font>
      <sz val="11"/>
      <color theme="1"/>
      <name val="Calibri"/>
      <family val="2"/>
      <scheme val="minor"/>
    </font>
    <font>
      <sz val="16"/>
      <color theme="1"/>
      <name val="MV Boli"/>
    </font>
    <font>
      <sz val="16"/>
      <color rgb="FFFF0000"/>
      <name val="MV Boli"/>
    </font>
    <font>
      <b/>
      <sz val="16"/>
      <color theme="1"/>
      <name val="MV Boli"/>
    </font>
    <font>
      <sz val="16"/>
      <color rgb="FF00B050"/>
      <name val="MV Boli"/>
    </font>
    <font>
      <vertAlign val="subscript"/>
      <sz val="16"/>
      <color theme="1"/>
      <name val="MV Boli"/>
    </font>
    <font>
      <b/>
      <vertAlign val="subscript"/>
      <sz val="16"/>
      <color theme="1"/>
      <name val="MV Boli"/>
    </font>
    <font>
      <b/>
      <sz val="16"/>
      <color rgb="FFFF0000"/>
      <name val="MV Boli"/>
    </font>
    <font>
      <b/>
      <sz val="9"/>
      <color indexed="81"/>
      <name val="Tahoma"/>
      <family val="2"/>
    </font>
    <font>
      <sz val="16"/>
      <color theme="1"/>
      <name val="Calibri"/>
      <family val="2"/>
    </font>
    <font>
      <vertAlign val="subscript"/>
      <sz val="16"/>
      <color theme="1"/>
      <name val="Calibri"/>
      <family val="2"/>
    </font>
    <font>
      <b/>
      <sz val="16"/>
      <color theme="0"/>
      <name val="MV Boli"/>
    </font>
    <font>
      <b/>
      <i/>
      <sz val="16"/>
      <color rgb="FFFF29FF"/>
      <name val="MV Boli"/>
    </font>
    <font>
      <b/>
      <i/>
      <sz val="16"/>
      <color rgb="FFEE0000"/>
      <name val="MV Boli"/>
    </font>
    <font>
      <b/>
      <sz val="9"/>
      <color indexed="81"/>
      <name val="Tahoma"/>
    </font>
    <font>
      <b/>
      <sz val="16"/>
      <color rgb="FFEE0000"/>
      <name val="MV Boli"/>
    </font>
    <font>
      <sz val="20"/>
      <color theme="1"/>
      <name val="MV Boli"/>
    </font>
    <font>
      <sz val="14"/>
      <color rgb="FFFF0000"/>
      <name val="MV Boli"/>
    </font>
    <font>
      <i/>
      <sz val="16"/>
      <color theme="1"/>
      <name val="MV Boli"/>
    </font>
  </fonts>
  <fills count="13">
    <fill>
      <patternFill patternType="none"/>
    </fill>
    <fill>
      <patternFill patternType="gray125"/>
    </fill>
    <fill>
      <patternFill patternType="solid">
        <fgColor theme="0"/>
        <bgColor theme="6" tint="0.79998168889431442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14999847407452621"/>
        <bgColor theme="6" tint="0.79998168889431442"/>
      </patternFill>
    </fill>
    <fill>
      <patternFill patternType="solid">
        <fgColor rgb="FFD5FFFF"/>
        <bgColor indexed="64"/>
      </patternFill>
    </fill>
    <fill>
      <patternFill patternType="solid">
        <fgColor rgb="FFCDFFFF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DDFFE8"/>
        <bgColor indexed="64"/>
      </patternFill>
    </fill>
    <fill>
      <patternFill patternType="solid">
        <fgColor rgb="FFD9FFFF"/>
        <bgColor indexed="64"/>
      </patternFill>
    </fill>
    <fill>
      <patternFill patternType="solid">
        <fgColor rgb="FFFFFF00"/>
        <bgColor indexed="64"/>
      </patternFill>
    </fill>
  </fills>
  <borders count="161">
    <border>
      <left/>
      <right/>
      <top/>
      <bottom/>
      <diagonal/>
    </border>
    <border>
      <left style="thick">
        <color theme="1" tint="0.34998626667073579"/>
      </left>
      <right style="medium">
        <color theme="1" tint="0.499984740745262"/>
      </right>
      <top style="medium">
        <color theme="1" tint="0.499984740745262"/>
      </top>
      <bottom style="medium">
        <color theme="1" tint="0.499984740745262"/>
      </bottom>
      <diagonal/>
    </border>
    <border>
      <left style="medium">
        <color theme="1" tint="0.499984740745262"/>
      </left>
      <right style="medium">
        <color theme="1" tint="0.499984740745262"/>
      </right>
      <top style="medium">
        <color theme="1" tint="0.499984740745262"/>
      </top>
      <bottom style="medium">
        <color theme="1" tint="0.499984740745262"/>
      </bottom>
      <diagonal/>
    </border>
    <border>
      <left style="medium">
        <color theme="1" tint="0.499984740745262"/>
      </left>
      <right style="thick">
        <color theme="1" tint="0.34998626667073579"/>
      </right>
      <top style="medium">
        <color theme="1" tint="0.499984740745262"/>
      </top>
      <bottom style="medium">
        <color theme="1" tint="0.499984740745262"/>
      </bottom>
      <diagonal/>
    </border>
    <border>
      <left style="thick">
        <color theme="1" tint="0.34998626667073579"/>
      </left>
      <right style="medium">
        <color theme="1" tint="0.499984740745262"/>
      </right>
      <top style="medium">
        <color theme="1" tint="0.499984740745262"/>
      </top>
      <bottom style="thick">
        <color theme="1" tint="0.34998626667073579"/>
      </bottom>
      <diagonal/>
    </border>
    <border>
      <left style="medium">
        <color theme="1" tint="0.499984740745262"/>
      </left>
      <right style="medium">
        <color theme="1" tint="0.499984740745262"/>
      </right>
      <top style="medium">
        <color theme="1" tint="0.499984740745262"/>
      </top>
      <bottom style="thick">
        <color theme="1" tint="0.34998626667073579"/>
      </bottom>
      <diagonal/>
    </border>
    <border>
      <left style="medium">
        <color theme="1" tint="0.499984740745262"/>
      </left>
      <right style="thick">
        <color theme="1" tint="0.34998626667073579"/>
      </right>
      <top style="medium">
        <color theme="1" tint="0.499984740745262"/>
      </top>
      <bottom style="thick">
        <color theme="1" tint="0.34998626667073579"/>
      </bottom>
      <diagonal/>
    </border>
    <border>
      <left style="thick">
        <color theme="1" tint="0.34998626667073579"/>
      </left>
      <right style="medium">
        <color theme="1" tint="0.499984740745262"/>
      </right>
      <top style="thick">
        <color theme="1" tint="0.34998626667073579"/>
      </top>
      <bottom/>
      <diagonal/>
    </border>
    <border>
      <left style="medium">
        <color theme="1" tint="0.499984740745262"/>
      </left>
      <right style="medium">
        <color theme="1" tint="0.499984740745262"/>
      </right>
      <top style="thick">
        <color theme="1" tint="0.34998626667073579"/>
      </top>
      <bottom/>
      <diagonal/>
    </border>
    <border>
      <left style="medium">
        <color theme="1" tint="0.499984740745262"/>
      </left>
      <right style="thick">
        <color theme="1" tint="0.34998626667073579"/>
      </right>
      <top style="thick">
        <color theme="1" tint="0.34998626667073579"/>
      </top>
      <bottom/>
      <diagonal/>
    </border>
    <border>
      <left style="thick">
        <color theme="1" tint="0.34998626667073579"/>
      </left>
      <right style="medium">
        <color theme="1" tint="0.499984740745262"/>
      </right>
      <top/>
      <bottom style="medium">
        <color theme="1" tint="0.499984740745262"/>
      </bottom>
      <diagonal/>
    </border>
    <border>
      <left style="medium">
        <color theme="1" tint="0.499984740745262"/>
      </left>
      <right style="medium">
        <color theme="1" tint="0.499984740745262"/>
      </right>
      <top/>
      <bottom style="medium">
        <color theme="1" tint="0.499984740745262"/>
      </bottom>
      <diagonal/>
    </border>
    <border>
      <left style="medium">
        <color theme="1" tint="0.499984740745262"/>
      </left>
      <right style="thick">
        <color theme="1" tint="0.34998626667073579"/>
      </right>
      <top/>
      <bottom style="medium">
        <color theme="1" tint="0.499984740745262"/>
      </bottom>
      <diagonal/>
    </border>
    <border>
      <left style="thick">
        <color theme="1"/>
      </left>
      <right style="medium">
        <color theme="1"/>
      </right>
      <top style="thick">
        <color theme="1"/>
      </top>
      <bottom style="medium">
        <color theme="1"/>
      </bottom>
      <diagonal/>
    </border>
    <border>
      <left style="medium">
        <color theme="1"/>
      </left>
      <right style="thick">
        <color theme="1"/>
      </right>
      <top style="thick">
        <color theme="1"/>
      </top>
      <bottom style="medium">
        <color theme="1"/>
      </bottom>
      <diagonal/>
    </border>
    <border>
      <left style="thick">
        <color theme="1"/>
      </left>
      <right style="medium">
        <color theme="1"/>
      </right>
      <top style="medium">
        <color theme="1"/>
      </top>
      <bottom style="thick">
        <color theme="1"/>
      </bottom>
      <diagonal/>
    </border>
    <border>
      <left style="medium">
        <color theme="1"/>
      </left>
      <right style="thick">
        <color theme="1"/>
      </right>
      <top style="medium">
        <color theme="1"/>
      </top>
      <bottom style="thick">
        <color theme="1"/>
      </bottom>
      <diagonal/>
    </border>
    <border>
      <left style="thick">
        <color auto="1"/>
      </left>
      <right style="medium">
        <color auto="1"/>
      </right>
      <top style="thick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ck">
        <color auto="1"/>
      </top>
      <bottom style="medium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 style="medium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ck">
        <color auto="1"/>
      </bottom>
      <diagonal/>
    </border>
    <border>
      <left style="medium">
        <color auto="1"/>
      </left>
      <right style="thick">
        <color auto="1"/>
      </right>
      <top style="medium">
        <color auto="1"/>
      </top>
      <bottom style="thick">
        <color auto="1"/>
      </bottom>
      <diagonal/>
    </border>
    <border>
      <left style="thick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ck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ck">
        <color auto="1"/>
      </left>
      <right style="medium">
        <color auto="1"/>
      </right>
      <top style="thick">
        <color auto="1"/>
      </top>
      <bottom/>
      <diagonal/>
    </border>
    <border>
      <left style="medium">
        <color auto="1"/>
      </left>
      <right style="medium">
        <color auto="1"/>
      </right>
      <top style="thick">
        <color auto="1"/>
      </top>
      <bottom/>
      <diagonal/>
    </border>
    <border>
      <left style="medium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medium">
        <color auto="1"/>
      </right>
      <top/>
      <bottom style="thick">
        <color auto="1"/>
      </bottom>
      <diagonal/>
    </border>
    <border>
      <left style="medium">
        <color auto="1"/>
      </left>
      <right style="medium">
        <color auto="1"/>
      </right>
      <top/>
      <bottom style="thick">
        <color auto="1"/>
      </bottom>
      <diagonal/>
    </border>
    <border>
      <left style="medium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thick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ck">
        <color auto="1"/>
      </left>
      <right/>
      <top style="thin">
        <color auto="1"/>
      </top>
      <bottom/>
      <diagonal/>
    </border>
    <border>
      <left style="thick">
        <color auto="1"/>
      </left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/>
      <diagonal/>
    </border>
    <border>
      <left style="medium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 style="thin">
        <color theme="1" tint="0.34998626667073579"/>
      </left>
      <right style="thin">
        <color theme="1" tint="0.34998626667073579"/>
      </right>
      <top style="thin">
        <color theme="1" tint="0.34998626667073579"/>
      </top>
      <bottom style="thin">
        <color theme="1" tint="0.34998626667073579"/>
      </bottom>
      <diagonal/>
    </border>
    <border>
      <left style="thin">
        <color theme="1" tint="0.34998626667073579"/>
      </left>
      <right style="thin">
        <color theme="1" tint="0.34998626667073579"/>
      </right>
      <top/>
      <bottom style="thin">
        <color theme="1" tint="0.34998626667073579"/>
      </bottom>
      <diagonal/>
    </border>
    <border>
      <left style="thin">
        <color theme="1" tint="0.34998626667073579"/>
      </left>
      <right style="thick">
        <color theme="1" tint="0.34998626667073579"/>
      </right>
      <top/>
      <bottom style="thin">
        <color theme="1" tint="0.34998626667073579"/>
      </bottom>
      <diagonal/>
    </border>
    <border>
      <left style="thin">
        <color theme="1" tint="0.34998626667073579"/>
      </left>
      <right style="thin">
        <color theme="1" tint="0.34998626667073579"/>
      </right>
      <top style="thick">
        <color theme="1" tint="0.34998626667073579"/>
      </top>
      <bottom/>
      <diagonal/>
    </border>
    <border>
      <left style="thin">
        <color theme="1" tint="0.34998626667073579"/>
      </left>
      <right style="thick">
        <color theme="1" tint="0.34998626667073579"/>
      </right>
      <top style="thick">
        <color theme="1" tint="0.34998626667073579"/>
      </top>
      <bottom/>
      <diagonal/>
    </border>
    <border>
      <left style="thin">
        <color theme="1" tint="0.34998626667073579"/>
      </left>
      <right style="thin">
        <color theme="1" tint="0.34998626667073579"/>
      </right>
      <top/>
      <bottom style="medium">
        <color theme="1" tint="0.34998626667073579"/>
      </bottom>
      <diagonal/>
    </border>
    <border>
      <left style="thin">
        <color theme="1" tint="0.34998626667073579"/>
      </left>
      <right style="thick">
        <color theme="1" tint="0.34998626667073579"/>
      </right>
      <top/>
      <bottom style="medium">
        <color theme="1" tint="0.34998626667073579"/>
      </bottom>
      <diagonal/>
    </border>
    <border>
      <left/>
      <right style="thin">
        <color theme="1" tint="0.34998626667073579"/>
      </right>
      <top style="thick">
        <color theme="1" tint="0.34998626667073579"/>
      </top>
      <bottom/>
      <diagonal/>
    </border>
    <border>
      <left/>
      <right style="thin">
        <color theme="1" tint="0.34998626667073579"/>
      </right>
      <top/>
      <bottom style="medium">
        <color theme="1" tint="0.34998626667073579"/>
      </bottom>
      <diagonal/>
    </border>
    <border>
      <left/>
      <right style="thin">
        <color theme="1" tint="0.34998626667073579"/>
      </right>
      <top/>
      <bottom style="thin">
        <color theme="1" tint="0.34998626667073579"/>
      </bottom>
      <diagonal/>
    </border>
    <border>
      <left/>
      <right style="thin">
        <color theme="1" tint="0.34998626667073579"/>
      </right>
      <top style="thin">
        <color theme="1" tint="0.34998626667073579"/>
      </top>
      <bottom style="thin">
        <color theme="1" tint="0.34998626667073579"/>
      </bottom>
      <diagonal/>
    </border>
    <border>
      <left style="thick">
        <color theme="1" tint="0.34998626667073579"/>
      </left>
      <right style="medium">
        <color theme="1" tint="0.34998626667073579"/>
      </right>
      <top style="thick">
        <color theme="1" tint="0.34998626667073579"/>
      </top>
      <bottom/>
      <diagonal/>
    </border>
    <border>
      <left style="thick">
        <color theme="1" tint="0.34998626667073579"/>
      </left>
      <right style="medium">
        <color theme="1" tint="0.34998626667073579"/>
      </right>
      <top/>
      <bottom style="medium">
        <color theme="1" tint="0.34998626667073579"/>
      </bottom>
      <diagonal/>
    </border>
    <border>
      <left style="thick">
        <color theme="1" tint="0.34998626667073579"/>
      </left>
      <right style="medium">
        <color theme="1" tint="0.34998626667073579"/>
      </right>
      <top/>
      <bottom style="thin">
        <color theme="1" tint="0.34998626667073579"/>
      </bottom>
      <diagonal/>
    </border>
    <border>
      <left style="thick">
        <color theme="1" tint="0.34998626667073579"/>
      </left>
      <right style="medium">
        <color theme="1" tint="0.34998626667073579"/>
      </right>
      <top style="thin">
        <color theme="1" tint="0.34998626667073579"/>
      </top>
      <bottom style="thin">
        <color theme="1" tint="0.34998626667073579"/>
      </bottom>
      <diagonal/>
    </border>
    <border>
      <left style="thick">
        <color theme="1" tint="0.34998626667073579"/>
      </left>
      <right style="medium">
        <color theme="1" tint="0.34998626667073579"/>
      </right>
      <top style="thin">
        <color theme="1" tint="0.34998626667073579"/>
      </top>
      <bottom/>
      <diagonal/>
    </border>
    <border>
      <left/>
      <right style="thin">
        <color theme="1" tint="0.34998626667073579"/>
      </right>
      <top style="thin">
        <color theme="1" tint="0.34998626667073579"/>
      </top>
      <bottom/>
      <diagonal/>
    </border>
    <border>
      <left style="thin">
        <color theme="1" tint="0.34998626667073579"/>
      </left>
      <right style="thin">
        <color theme="1" tint="0.34998626667073579"/>
      </right>
      <top style="thin">
        <color theme="1" tint="0.34998626667073579"/>
      </top>
      <bottom/>
      <diagonal/>
    </border>
    <border>
      <left style="thin">
        <color theme="1" tint="0.34998626667073579"/>
      </left>
      <right style="thick">
        <color theme="1" tint="0.34998626667073579"/>
      </right>
      <top style="thin">
        <color theme="1" tint="0.34998626667073579"/>
      </top>
      <bottom/>
      <diagonal/>
    </border>
    <border>
      <left style="thick">
        <color theme="1" tint="0.34998626667073579"/>
      </left>
      <right style="medium">
        <color theme="1" tint="0.34998626667073579"/>
      </right>
      <top style="medium">
        <color theme="1" tint="0.34998626667073579"/>
      </top>
      <bottom style="thick">
        <color theme="1" tint="0.34998626667073579"/>
      </bottom>
      <diagonal/>
    </border>
    <border>
      <left style="thin">
        <color theme="1" tint="0.34998626667073579"/>
      </left>
      <right style="thick">
        <color theme="1" tint="0.34998626667073579"/>
      </right>
      <top style="medium">
        <color theme="1" tint="0.34998626667073579"/>
      </top>
      <bottom style="thick">
        <color theme="1" tint="0.34998626667073579"/>
      </bottom>
      <diagonal/>
    </border>
    <border>
      <left style="medium">
        <color theme="1" tint="0.34998626667073579"/>
      </left>
      <right/>
      <top style="medium">
        <color theme="1" tint="0.34998626667073579"/>
      </top>
      <bottom style="thick">
        <color theme="1" tint="0.34998626667073579"/>
      </bottom>
      <diagonal/>
    </border>
    <border>
      <left/>
      <right/>
      <top style="medium">
        <color theme="1" tint="0.34998626667073579"/>
      </top>
      <bottom style="thick">
        <color theme="1" tint="0.34998626667073579"/>
      </bottom>
      <diagonal/>
    </border>
    <border>
      <left style="thick">
        <color auto="1"/>
      </left>
      <right style="thin">
        <color auto="1"/>
      </right>
      <top/>
      <bottom style="thick">
        <color auto="1"/>
      </bottom>
      <diagonal/>
    </border>
    <border>
      <left style="thin">
        <color auto="1"/>
      </left>
      <right style="thin">
        <color auto="1"/>
      </right>
      <top/>
      <bottom style="thick">
        <color auto="1"/>
      </bottom>
      <diagonal/>
    </border>
    <border>
      <left style="thin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n">
        <color auto="1"/>
      </right>
      <top style="thick">
        <color auto="1"/>
      </top>
      <bottom/>
      <diagonal/>
    </border>
    <border>
      <left style="thin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 style="thin">
        <color theme="1" tint="0.34998626667073579"/>
      </right>
      <top/>
      <bottom style="medium">
        <color auto="1"/>
      </bottom>
      <diagonal/>
    </border>
    <border>
      <left style="thin">
        <color theme="1" tint="0.34998626667073579"/>
      </left>
      <right style="thin">
        <color theme="1" tint="0.34998626667073579"/>
      </right>
      <top/>
      <bottom style="medium">
        <color auto="1"/>
      </bottom>
      <diagonal/>
    </border>
    <border>
      <left style="thin">
        <color theme="1" tint="0.34998626667073579"/>
      </left>
      <right style="thick">
        <color auto="1"/>
      </right>
      <top/>
      <bottom style="medium">
        <color auto="1"/>
      </bottom>
      <diagonal/>
    </border>
    <border>
      <left style="thick">
        <color auto="1"/>
      </left>
      <right/>
      <top/>
      <bottom style="thin">
        <color auto="1"/>
      </bottom>
      <diagonal/>
    </border>
    <border>
      <left style="medium">
        <color auto="1"/>
      </left>
      <right style="thick">
        <color auto="1"/>
      </right>
      <top/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medium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  <border>
      <left style="thick">
        <color auto="1"/>
      </left>
      <right style="medium">
        <color auto="1"/>
      </right>
      <top style="thin">
        <color auto="1"/>
      </top>
      <bottom style="thin">
        <color indexed="64"/>
      </bottom>
      <diagonal/>
    </border>
    <border>
      <left style="thick">
        <color auto="1"/>
      </left>
      <right style="medium">
        <color auto="1"/>
      </right>
      <top/>
      <bottom style="thin">
        <color indexed="64"/>
      </bottom>
      <diagonal/>
    </border>
    <border>
      <left style="thick">
        <color auto="1"/>
      </left>
      <right style="thin">
        <color auto="1"/>
      </right>
      <top style="thin">
        <color auto="1"/>
      </top>
      <bottom/>
      <diagonal/>
    </border>
    <border>
      <left style="thick">
        <color auto="1"/>
      </left>
      <right/>
      <top style="medium">
        <color auto="1"/>
      </top>
      <bottom style="thick">
        <color auto="1"/>
      </bottom>
      <diagonal/>
    </border>
    <border>
      <left/>
      <right/>
      <top style="medium">
        <color auto="1"/>
      </top>
      <bottom style="thick">
        <color auto="1"/>
      </bottom>
      <diagonal/>
    </border>
    <border>
      <left style="thick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medium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medium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medium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ck">
        <color auto="1"/>
      </left>
      <right style="thin">
        <color auto="1"/>
      </right>
      <top style="medium">
        <color auto="1"/>
      </top>
      <bottom style="thick">
        <color auto="1"/>
      </bottom>
      <diagonal/>
    </border>
    <border>
      <left style="thin">
        <color auto="1"/>
      </left>
      <right/>
      <top style="medium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/>
      <diagonal/>
    </border>
    <border>
      <left style="thick">
        <color auto="1"/>
      </left>
      <right style="medium">
        <color auto="1"/>
      </right>
      <top style="thick">
        <color auto="1"/>
      </top>
      <bottom style="thin">
        <color theme="1" tint="0.499984740745262"/>
      </bottom>
      <diagonal/>
    </border>
    <border>
      <left/>
      <right style="thin">
        <color auto="1"/>
      </right>
      <top style="thin">
        <color auto="1"/>
      </top>
      <bottom style="thin">
        <color theme="1" tint="0.499984740745262"/>
      </bottom>
      <diagonal/>
    </border>
    <border>
      <left style="thin">
        <color auto="1"/>
      </left>
      <right style="thick">
        <color auto="1"/>
      </right>
      <top/>
      <bottom style="thin">
        <color theme="1" tint="0.499984740745262"/>
      </bottom>
      <diagonal/>
    </border>
    <border>
      <left style="thick">
        <color auto="1"/>
      </left>
      <right style="medium">
        <color auto="1"/>
      </right>
      <top style="thin">
        <color theme="1" tint="0.499984740745262"/>
      </top>
      <bottom style="thin">
        <color theme="1" tint="0.499984740745262"/>
      </bottom>
      <diagonal/>
    </border>
    <border>
      <left/>
      <right style="thin">
        <color auto="1"/>
      </right>
      <top style="thin">
        <color theme="1" tint="0.499984740745262"/>
      </top>
      <bottom style="thin">
        <color theme="1" tint="0.499984740745262"/>
      </bottom>
      <diagonal/>
    </border>
    <border>
      <left style="thin">
        <color auto="1"/>
      </left>
      <right style="thick">
        <color auto="1"/>
      </right>
      <top style="thin">
        <color theme="1" tint="0.499984740745262"/>
      </top>
      <bottom style="thin">
        <color theme="1" tint="0.499984740745262"/>
      </bottom>
      <diagonal/>
    </border>
    <border>
      <left style="thick">
        <color auto="1"/>
      </left>
      <right style="medium">
        <color auto="1"/>
      </right>
      <top style="thin">
        <color theme="1" tint="0.499984740745262"/>
      </top>
      <bottom style="medium">
        <color auto="1"/>
      </bottom>
      <diagonal/>
    </border>
    <border>
      <left/>
      <right style="thin">
        <color auto="1"/>
      </right>
      <top style="thin">
        <color theme="1" tint="0.499984740745262"/>
      </top>
      <bottom style="medium">
        <color auto="1"/>
      </bottom>
      <diagonal/>
    </border>
    <border>
      <left style="thin">
        <color auto="1"/>
      </left>
      <right style="thick">
        <color auto="1"/>
      </right>
      <top style="thin">
        <color theme="1" tint="0.499984740745262"/>
      </top>
      <bottom style="medium">
        <color auto="1"/>
      </bottom>
      <diagonal/>
    </border>
    <border>
      <left style="thick">
        <color auto="1"/>
      </left>
      <right style="medium">
        <color auto="1"/>
      </right>
      <top style="thin">
        <color theme="1" tint="0.499984740745262"/>
      </top>
      <bottom/>
      <diagonal/>
    </border>
    <border>
      <left/>
      <right style="thin">
        <color auto="1"/>
      </right>
      <top style="thin">
        <color theme="1" tint="0.499984740745262"/>
      </top>
      <bottom/>
      <diagonal/>
    </border>
    <border>
      <left style="thin">
        <color auto="1"/>
      </left>
      <right style="thick">
        <color auto="1"/>
      </right>
      <top style="thin">
        <color theme="1" tint="0.499984740745262"/>
      </top>
      <bottom/>
      <diagonal/>
    </border>
    <border>
      <left style="thick">
        <color auto="1"/>
      </left>
      <right style="medium">
        <color auto="1"/>
      </right>
      <top/>
      <bottom style="thin">
        <color theme="1" tint="0.499984740745262"/>
      </bottom>
      <diagonal/>
    </border>
    <border>
      <left/>
      <right style="thin">
        <color auto="1"/>
      </right>
      <top/>
      <bottom style="thin">
        <color theme="1" tint="0.499984740745262"/>
      </bottom>
      <diagonal/>
    </border>
    <border>
      <left style="thick">
        <color auto="1"/>
      </left>
      <right style="medium">
        <color auto="1"/>
      </right>
      <top style="medium">
        <color auto="1"/>
      </top>
      <bottom style="thin">
        <color theme="1" tint="0.499984740745262"/>
      </bottom>
      <diagonal/>
    </border>
    <border>
      <left/>
      <right style="thin">
        <color auto="1"/>
      </right>
      <top style="medium">
        <color auto="1"/>
      </top>
      <bottom style="thin">
        <color theme="1" tint="0.499984740745262"/>
      </bottom>
      <diagonal/>
    </border>
    <border>
      <left style="thin">
        <color auto="1"/>
      </left>
      <right style="thick">
        <color auto="1"/>
      </right>
      <top style="medium">
        <color auto="1"/>
      </top>
      <bottom style="thin">
        <color theme="1" tint="0.499984740745262"/>
      </bottom>
      <diagonal/>
    </border>
    <border>
      <left style="thick">
        <color auto="1"/>
      </left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/>
      <bottom/>
      <diagonal/>
    </border>
    <border>
      <left/>
      <right style="thick">
        <color auto="1"/>
      </right>
      <top style="thin">
        <color auto="1"/>
      </top>
      <bottom style="thin">
        <color theme="1" tint="0.499984740745262"/>
      </bottom>
      <diagonal/>
    </border>
    <border>
      <left/>
      <right style="thick">
        <color auto="1"/>
      </right>
      <top style="thin">
        <color theme="1" tint="0.499984740745262"/>
      </top>
      <bottom style="thin">
        <color theme="1" tint="0.499984740745262"/>
      </bottom>
      <diagonal/>
    </border>
    <border>
      <left/>
      <right style="thick">
        <color auto="1"/>
      </right>
      <top style="thin">
        <color theme="1" tint="0.499984740745262"/>
      </top>
      <bottom/>
      <diagonal/>
    </border>
    <border>
      <left/>
      <right style="thick">
        <color auto="1"/>
      </right>
      <top style="medium">
        <color auto="1"/>
      </top>
      <bottom style="thin">
        <color theme="1" tint="0.499984740745262"/>
      </bottom>
      <diagonal/>
    </border>
    <border>
      <left/>
      <right style="thick">
        <color auto="1"/>
      </right>
      <top style="thin">
        <color theme="1" tint="0.499984740745262"/>
      </top>
      <bottom style="medium">
        <color auto="1"/>
      </bottom>
      <diagonal/>
    </border>
    <border>
      <left/>
      <right style="thick">
        <color auto="1"/>
      </right>
      <top/>
      <bottom style="thin">
        <color theme="1" tint="0.499984740745262"/>
      </bottom>
      <diagonal/>
    </border>
    <border>
      <left style="thick">
        <color rgb="FFFF0000"/>
      </left>
      <right style="thin">
        <color rgb="FFFF0000"/>
      </right>
      <top style="thick">
        <color rgb="FFFF0000"/>
      </top>
      <bottom style="thin">
        <color rgb="FFFF0000"/>
      </bottom>
      <diagonal/>
    </border>
    <border>
      <left style="thin">
        <color rgb="FFFF0000"/>
      </left>
      <right style="thick">
        <color rgb="FFFF0000"/>
      </right>
      <top style="thick">
        <color rgb="FFFF0000"/>
      </top>
      <bottom style="thin">
        <color rgb="FFFF0000"/>
      </bottom>
      <diagonal/>
    </border>
    <border>
      <left style="thick">
        <color rgb="FFFF0000"/>
      </left>
      <right style="thin">
        <color rgb="FFFF0000"/>
      </right>
      <top style="thin">
        <color rgb="FFFF0000"/>
      </top>
      <bottom style="thin">
        <color rgb="FFFF0000"/>
      </bottom>
      <diagonal/>
    </border>
    <border>
      <left style="thin">
        <color rgb="FFFF0000"/>
      </left>
      <right style="thick">
        <color rgb="FFFF0000"/>
      </right>
      <top style="thin">
        <color rgb="FFFF0000"/>
      </top>
      <bottom style="thin">
        <color rgb="FFFF0000"/>
      </bottom>
      <diagonal/>
    </border>
    <border>
      <left style="thick">
        <color rgb="FFFF0000"/>
      </left>
      <right style="thin">
        <color rgb="FFFF0000"/>
      </right>
      <top style="thin">
        <color rgb="FFFF0000"/>
      </top>
      <bottom style="thick">
        <color rgb="FFFF0000"/>
      </bottom>
      <diagonal/>
    </border>
    <border>
      <left style="thin">
        <color rgb="FFFF0000"/>
      </left>
      <right style="thick">
        <color rgb="FFFF0000"/>
      </right>
      <top style="thin">
        <color rgb="FFFF0000"/>
      </top>
      <bottom style="thick">
        <color rgb="FFFF0000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n">
        <color auto="1"/>
      </right>
      <top/>
      <bottom style="thick">
        <color auto="1"/>
      </bottom>
      <diagonal/>
    </border>
    <border>
      <left style="thin">
        <color auto="1"/>
      </left>
      <right/>
      <top/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ck">
        <color auto="1"/>
      </top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ck">
        <color auto="1"/>
      </right>
      <top/>
      <bottom style="medium">
        <color auto="1"/>
      </bottom>
      <diagonal/>
    </border>
  </borders>
  <cellStyleXfs count="1">
    <xf numFmtId="0" fontId="0" fillId="0" borderId="0"/>
  </cellStyleXfs>
  <cellXfs count="328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164" fontId="1" fillId="0" borderId="0" xfId="0" applyNumberFormat="1" applyFont="1" applyFill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164" fontId="2" fillId="0" borderId="0" xfId="0" applyNumberFormat="1" applyFont="1" applyFill="1" applyAlignment="1">
      <alignment horizontal="center" vertical="center"/>
    </xf>
    <xf numFmtId="0" fontId="1" fillId="0" borderId="0" xfId="0" applyFont="1" applyFill="1" applyAlignment="1">
      <alignment horizontal="right" vertical="center"/>
    </xf>
    <xf numFmtId="164" fontId="1" fillId="2" borderId="0" xfId="0" applyNumberFormat="1" applyFont="1" applyFill="1" applyBorder="1" applyAlignment="1">
      <alignment horizontal="center" vertical="center"/>
    </xf>
    <xf numFmtId="0" fontId="1" fillId="3" borderId="0" xfId="0" applyFont="1" applyFill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164" fontId="1" fillId="2" borderId="2" xfId="0" applyNumberFormat="1" applyFont="1" applyFill="1" applyBorder="1" applyAlignment="1">
      <alignment horizontal="center" vertical="center"/>
    </xf>
    <xf numFmtId="164" fontId="1" fillId="5" borderId="2" xfId="0" applyNumberFormat="1" applyFont="1" applyFill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/>
    </xf>
    <xf numFmtId="164" fontId="1" fillId="2" borderId="5" xfId="0" applyNumberFormat="1" applyFont="1" applyFill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165" fontId="1" fillId="2" borderId="3" xfId="0" applyNumberFormat="1" applyFont="1" applyFill="1" applyBorder="1" applyAlignment="1">
      <alignment horizontal="center" vertical="center"/>
    </xf>
    <xf numFmtId="165" fontId="3" fillId="0" borderId="6" xfId="0" applyNumberFormat="1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164" fontId="1" fillId="0" borderId="14" xfId="0" applyNumberFormat="1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164" fontId="1" fillId="0" borderId="16" xfId="0" applyNumberFormat="1" applyFont="1" applyBorder="1" applyAlignment="1">
      <alignment horizontal="center" vertical="center"/>
    </xf>
    <xf numFmtId="167" fontId="1" fillId="0" borderId="0" xfId="0" applyNumberFormat="1" applyFont="1" applyFill="1" applyAlignment="1">
      <alignment horizontal="center" vertical="center"/>
    </xf>
    <xf numFmtId="168" fontId="1" fillId="0" borderId="0" xfId="0" applyNumberFormat="1" applyFont="1" applyFill="1" applyAlignment="1">
      <alignment horizontal="center" vertical="center"/>
    </xf>
    <xf numFmtId="0" fontId="3" fillId="0" borderId="0" xfId="0" applyFont="1" applyFill="1" applyAlignment="1">
      <alignment horizontal="center" vertical="center"/>
    </xf>
    <xf numFmtId="0" fontId="3" fillId="0" borderId="0" xfId="0" applyFont="1" applyFill="1" applyAlignment="1">
      <alignment horizontal="right" vertical="center"/>
    </xf>
    <xf numFmtId="0" fontId="1" fillId="0" borderId="0" xfId="0" applyFont="1" applyAlignment="1">
      <alignment horizontal="right" vertical="center"/>
    </xf>
    <xf numFmtId="0" fontId="3" fillId="0" borderId="0" xfId="0" applyFont="1" applyAlignment="1">
      <alignment horizontal="right" vertical="center"/>
    </xf>
    <xf numFmtId="0" fontId="3" fillId="0" borderId="17" xfId="0" applyFont="1" applyBorder="1" applyAlignment="1">
      <alignment horizontal="right" vertical="center"/>
    </xf>
    <xf numFmtId="0" fontId="3" fillId="0" borderId="18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Fill="1" applyBorder="1" applyAlignment="1">
      <alignment horizontal="right" vertical="center"/>
    </xf>
    <xf numFmtId="164" fontId="1" fillId="0" borderId="22" xfId="0" applyNumberFormat="1" applyFont="1" applyBorder="1" applyAlignment="1">
      <alignment horizontal="center" vertical="center"/>
    </xf>
    <xf numFmtId="0" fontId="3" fillId="0" borderId="20" xfId="0" applyFont="1" applyBorder="1" applyAlignment="1">
      <alignment horizontal="right" vertical="center"/>
    </xf>
    <xf numFmtId="0" fontId="3" fillId="0" borderId="23" xfId="0" applyFont="1" applyFill="1" applyBorder="1" applyAlignment="1">
      <alignment horizontal="right" vertical="center"/>
    </xf>
    <xf numFmtId="164" fontId="1" fillId="0" borderId="25" xfId="0" applyNumberFormat="1" applyFont="1" applyBorder="1" applyAlignment="1">
      <alignment horizontal="center" vertical="center"/>
    </xf>
    <xf numFmtId="0" fontId="1" fillId="4" borderId="21" xfId="0" applyFont="1" applyFill="1" applyBorder="1" applyAlignment="1">
      <alignment horizontal="center" vertical="center"/>
    </xf>
    <xf numFmtId="0" fontId="1" fillId="4" borderId="24" xfId="0" applyFont="1" applyFill="1" applyBorder="1" applyAlignment="1">
      <alignment horizontal="center" vertical="center"/>
    </xf>
    <xf numFmtId="164" fontId="1" fillId="0" borderId="21" xfId="0" applyNumberFormat="1" applyFont="1" applyBorder="1" applyAlignment="1">
      <alignment horizontal="center" vertical="center"/>
    </xf>
    <xf numFmtId="164" fontId="1" fillId="0" borderId="24" xfId="0" applyNumberFormat="1" applyFont="1" applyBorder="1" applyAlignment="1">
      <alignment horizontal="center" vertical="center"/>
    </xf>
    <xf numFmtId="164" fontId="1" fillId="4" borderId="21" xfId="0" applyNumberFormat="1" applyFont="1" applyFill="1" applyBorder="1" applyAlignment="1">
      <alignment horizontal="center" vertical="center"/>
    </xf>
    <xf numFmtId="164" fontId="1" fillId="4" borderId="24" xfId="0" applyNumberFormat="1" applyFont="1" applyFill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1" fillId="0" borderId="23" xfId="0" applyFont="1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1" fillId="0" borderId="0" xfId="0" applyFont="1" applyAlignment="1">
      <alignment horizontal="left" vertical="center"/>
    </xf>
    <xf numFmtId="165" fontId="1" fillId="0" borderId="21" xfId="0" applyNumberFormat="1" applyFont="1" applyBorder="1" applyAlignment="1">
      <alignment horizontal="center" vertical="center"/>
    </xf>
    <xf numFmtId="166" fontId="1" fillId="4" borderId="21" xfId="0" applyNumberFormat="1" applyFont="1" applyFill="1" applyBorder="1" applyAlignment="1">
      <alignment horizontal="center" vertical="center"/>
    </xf>
    <xf numFmtId="168" fontId="1" fillId="4" borderId="21" xfId="0" applyNumberFormat="1" applyFont="1" applyFill="1" applyBorder="1" applyAlignment="1">
      <alignment horizontal="center" vertical="center"/>
    </xf>
    <xf numFmtId="165" fontId="1" fillId="0" borderId="24" xfId="0" applyNumberFormat="1" applyFont="1" applyBorder="1" applyAlignment="1">
      <alignment horizontal="center" vertical="center"/>
    </xf>
    <xf numFmtId="166" fontId="1" fillId="4" borderId="24" xfId="0" applyNumberFormat="1" applyFont="1" applyFill="1" applyBorder="1" applyAlignment="1">
      <alignment horizontal="center" vertical="center"/>
    </xf>
    <xf numFmtId="168" fontId="1" fillId="4" borderId="24" xfId="0" applyNumberFormat="1" applyFont="1" applyFill="1" applyBorder="1" applyAlignment="1">
      <alignment horizontal="center" vertical="center"/>
    </xf>
    <xf numFmtId="165" fontId="1" fillId="0" borderId="28" xfId="0" applyNumberFormat="1" applyFont="1" applyBorder="1" applyAlignment="1">
      <alignment horizontal="center" vertical="center"/>
    </xf>
    <xf numFmtId="166" fontId="1" fillId="4" borderId="28" xfId="0" applyNumberFormat="1" applyFont="1" applyFill="1" applyBorder="1" applyAlignment="1">
      <alignment horizontal="center" vertical="center"/>
    </xf>
    <xf numFmtId="168" fontId="1" fillId="4" borderId="28" xfId="0" applyNumberFormat="1" applyFont="1" applyFill="1" applyBorder="1" applyAlignment="1">
      <alignment horizontal="center" vertical="center"/>
    </xf>
    <xf numFmtId="164" fontId="1" fillId="4" borderId="28" xfId="0" applyNumberFormat="1" applyFont="1" applyFill="1" applyBorder="1" applyAlignment="1">
      <alignment horizontal="center" vertical="center"/>
    </xf>
    <xf numFmtId="164" fontId="1" fillId="0" borderId="28" xfId="0" applyNumberFormat="1" applyFont="1" applyBorder="1" applyAlignment="1">
      <alignment horizontal="center" vertical="center"/>
    </xf>
    <xf numFmtId="0" fontId="1" fillId="3" borderId="8" xfId="0" applyFont="1" applyFill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3" borderId="11" xfId="0" applyFont="1" applyFill="1" applyBorder="1" applyAlignment="1">
      <alignment horizontal="center" vertical="top"/>
    </xf>
    <xf numFmtId="0" fontId="1" fillId="0" borderId="11" xfId="0" applyFont="1" applyBorder="1" applyAlignment="1">
      <alignment horizontal="center" vertical="top"/>
    </xf>
    <xf numFmtId="0" fontId="1" fillId="0" borderId="12" xfId="0" applyFont="1" applyBorder="1" applyAlignment="1">
      <alignment horizontal="center" vertical="top"/>
    </xf>
    <xf numFmtId="0" fontId="1" fillId="0" borderId="29" xfId="0" applyFont="1" applyBorder="1" applyAlignment="1">
      <alignment horizontal="center"/>
    </xf>
    <xf numFmtId="0" fontId="1" fillId="0" borderId="30" xfId="0" applyFont="1" applyBorder="1" applyAlignment="1">
      <alignment horizontal="center"/>
    </xf>
    <xf numFmtId="0" fontId="7" fillId="0" borderId="31" xfId="0" applyFont="1" applyBorder="1" applyAlignment="1">
      <alignment horizontal="center"/>
    </xf>
    <xf numFmtId="0" fontId="1" fillId="0" borderId="32" xfId="0" applyFont="1" applyBorder="1" applyAlignment="1">
      <alignment horizontal="center" vertical="top"/>
    </xf>
    <xf numFmtId="0" fontId="1" fillId="0" borderId="33" xfId="0" applyFont="1" applyBorder="1" applyAlignment="1">
      <alignment horizontal="center" vertical="top"/>
    </xf>
    <xf numFmtId="0" fontId="2" fillId="0" borderId="34" xfId="0" applyFont="1" applyBorder="1" applyAlignment="1">
      <alignment horizontal="center" vertical="top"/>
    </xf>
    <xf numFmtId="164" fontId="7" fillId="6" borderId="27" xfId="0" applyNumberFormat="1" applyFont="1" applyFill="1" applyBorder="1" applyAlignment="1">
      <alignment horizontal="center" vertical="center"/>
    </xf>
    <xf numFmtId="0" fontId="1" fillId="0" borderId="35" xfId="0" applyFont="1" applyBorder="1" applyAlignment="1">
      <alignment horizontal="center" vertical="center"/>
    </xf>
    <xf numFmtId="0" fontId="1" fillId="0" borderId="36" xfId="0" applyFont="1" applyBorder="1" applyAlignment="1">
      <alignment horizontal="center" vertical="center"/>
    </xf>
    <xf numFmtId="0" fontId="7" fillId="6" borderId="37" xfId="0" applyFont="1" applyFill="1" applyBorder="1" applyAlignment="1">
      <alignment horizontal="center" vertical="center"/>
    </xf>
    <xf numFmtId="168" fontId="1" fillId="4" borderId="38" xfId="0" applyNumberFormat="1" applyFont="1" applyFill="1" applyBorder="1" applyAlignment="1">
      <alignment horizontal="center" vertical="center"/>
    </xf>
    <xf numFmtId="168" fontId="1" fillId="4" borderId="39" xfId="0" applyNumberFormat="1" applyFont="1" applyFill="1" applyBorder="1" applyAlignment="1">
      <alignment horizontal="center" vertical="center"/>
    </xf>
    <xf numFmtId="168" fontId="1" fillId="0" borderId="39" xfId="0" applyNumberFormat="1" applyFont="1" applyFill="1" applyBorder="1" applyAlignment="1">
      <alignment horizontal="center" vertical="center"/>
    </xf>
    <xf numFmtId="164" fontId="1" fillId="4" borderId="39" xfId="0" applyNumberFormat="1" applyFont="1" applyFill="1" applyBorder="1" applyAlignment="1">
      <alignment horizontal="center" vertical="center"/>
    </xf>
    <xf numFmtId="168" fontId="7" fillId="6" borderId="40" xfId="0" applyNumberFormat="1" applyFont="1" applyFill="1" applyBorder="1" applyAlignment="1">
      <alignment horizontal="center" vertical="center"/>
    </xf>
    <xf numFmtId="168" fontId="1" fillId="0" borderId="0" xfId="0" applyNumberFormat="1" applyFont="1" applyFill="1" applyAlignment="1">
      <alignment horizontal="left" vertical="center"/>
    </xf>
    <xf numFmtId="168" fontId="2" fillId="0" borderId="0" xfId="0" applyNumberFormat="1" applyFont="1" applyFill="1" applyAlignment="1">
      <alignment horizontal="left" vertical="center"/>
    </xf>
    <xf numFmtId="165" fontId="1" fillId="0" borderId="39" xfId="0" applyNumberFormat="1" applyFont="1" applyFill="1" applyBorder="1" applyAlignment="1">
      <alignment horizontal="center" vertical="center"/>
    </xf>
    <xf numFmtId="164" fontId="1" fillId="0" borderId="0" xfId="0" applyNumberFormat="1" applyFont="1" applyFill="1" applyAlignment="1">
      <alignment horizontal="left" vertical="center"/>
    </xf>
    <xf numFmtId="165" fontId="1" fillId="0" borderId="0" xfId="0" applyNumberFormat="1" applyFont="1" applyFill="1" applyAlignment="1">
      <alignment horizontal="center" vertical="center"/>
    </xf>
    <xf numFmtId="168" fontId="1" fillId="0" borderId="0" xfId="0" applyNumberFormat="1" applyFont="1" applyAlignment="1">
      <alignment horizontal="center" vertical="center"/>
    </xf>
    <xf numFmtId="166" fontId="1" fillId="0" borderId="0" xfId="0" applyNumberFormat="1" applyFont="1" applyFill="1" applyAlignment="1">
      <alignment horizontal="center" vertical="center"/>
    </xf>
    <xf numFmtId="165" fontId="1" fillId="4" borderId="39" xfId="0" applyNumberFormat="1" applyFont="1" applyFill="1" applyBorder="1" applyAlignment="1">
      <alignment horizontal="center" vertical="center"/>
    </xf>
    <xf numFmtId="0" fontId="7" fillId="0" borderId="0" xfId="0" applyFont="1" applyAlignment="1">
      <alignment horizontal="left" vertical="center"/>
    </xf>
    <xf numFmtId="0" fontId="1" fillId="0" borderId="41" xfId="0" applyFont="1" applyBorder="1" applyAlignment="1">
      <alignment horizontal="center" vertical="center"/>
    </xf>
    <xf numFmtId="0" fontId="1" fillId="4" borderId="42" xfId="0" applyFont="1" applyFill="1" applyBorder="1" applyAlignment="1">
      <alignment horizontal="center" vertical="center"/>
    </xf>
    <xf numFmtId="168" fontId="1" fillId="0" borderId="43" xfId="0" applyNumberFormat="1" applyFont="1" applyBorder="1" applyAlignment="1">
      <alignment horizontal="center" vertical="center"/>
    </xf>
    <xf numFmtId="0" fontId="1" fillId="0" borderId="44" xfId="0" applyFont="1" applyBorder="1" applyAlignment="1">
      <alignment horizontal="center" vertical="center"/>
    </xf>
    <xf numFmtId="0" fontId="1" fillId="4" borderId="45" xfId="0" applyFont="1" applyFill="1" applyBorder="1" applyAlignment="1">
      <alignment horizontal="center" vertical="center"/>
    </xf>
    <xf numFmtId="164" fontId="1" fillId="0" borderId="46" xfId="0" applyNumberFormat="1" applyFont="1" applyBorder="1" applyAlignment="1">
      <alignment horizontal="center" vertical="center"/>
    </xf>
    <xf numFmtId="168" fontId="1" fillId="0" borderId="46" xfId="0" applyNumberFormat="1" applyFont="1" applyBorder="1" applyAlignment="1">
      <alignment horizontal="center" vertical="center"/>
    </xf>
    <xf numFmtId="165" fontId="1" fillId="0" borderId="46" xfId="0" applyNumberFormat="1" applyFont="1" applyBorder="1" applyAlignment="1">
      <alignment horizontal="center" vertical="center"/>
    </xf>
    <xf numFmtId="0" fontId="7" fillId="6" borderId="47" xfId="0" applyFont="1" applyFill="1" applyBorder="1" applyAlignment="1">
      <alignment horizontal="center" vertical="center"/>
    </xf>
    <xf numFmtId="165" fontId="1" fillId="0" borderId="43" xfId="0" applyNumberFormat="1" applyFont="1" applyFill="1" applyBorder="1" applyAlignment="1">
      <alignment horizontal="center" vertical="center"/>
    </xf>
    <xf numFmtId="0" fontId="9" fillId="0" borderId="44" xfId="0" applyFont="1" applyBorder="1" applyAlignment="1">
      <alignment horizontal="center" vertical="center"/>
    </xf>
    <xf numFmtId="165" fontId="1" fillId="0" borderId="46" xfId="0" applyNumberFormat="1" applyFont="1" applyFill="1" applyBorder="1" applyAlignment="1">
      <alignment horizontal="center" vertical="center"/>
    </xf>
    <xf numFmtId="165" fontId="1" fillId="4" borderId="46" xfId="0" applyNumberFormat="1" applyFont="1" applyFill="1" applyBorder="1" applyAlignment="1">
      <alignment horizontal="center" vertical="center"/>
    </xf>
    <xf numFmtId="169" fontId="1" fillId="0" borderId="46" xfId="0" applyNumberFormat="1" applyFont="1" applyFill="1" applyBorder="1" applyAlignment="1">
      <alignment horizontal="center" vertical="center"/>
    </xf>
    <xf numFmtId="169" fontId="1" fillId="0" borderId="46" xfId="0" applyNumberFormat="1" applyFont="1" applyBorder="1" applyAlignment="1">
      <alignment horizontal="center" vertical="center"/>
    </xf>
    <xf numFmtId="0" fontId="7" fillId="0" borderId="44" xfId="0" applyFont="1" applyBorder="1" applyAlignment="1">
      <alignment horizontal="center" vertical="center"/>
    </xf>
    <xf numFmtId="165" fontId="7" fillId="0" borderId="46" xfId="0" applyNumberFormat="1" applyFont="1" applyBorder="1" applyAlignment="1">
      <alignment horizontal="center" vertical="center"/>
    </xf>
    <xf numFmtId="0" fontId="7" fillId="0" borderId="47" xfId="0" applyFont="1" applyBorder="1" applyAlignment="1">
      <alignment horizontal="center" vertical="center"/>
    </xf>
    <xf numFmtId="165" fontId="7" fillId="0" borderId="49" xfId="0" applyNumberFormat="1" applyFont="1" applyBorder="1" applyAlignment="1">
      <alignment horizontal="center" vertical="center"/>
    </xf>
    <xf numFmtId="0" fontId="1" fillId="0" borderId="50" xfId="0" applyFont="1" applyBorder="1" applyAlignment="1">
      <alignment horizontal="center" vertical="center"/>
    </xf>
    <xf numFmtId="164" fontId="1" fillId="2" borderId="54" xfId="0" applyNumberFormat="1" applyFont="1" applyFill="1" applyBorder="1" applyAlignment="1">
      <alignment horizontal="center" vertical="center"/>
    </xf>
    <xf numFmtId="164" fontId="1" fillId="2" borderId="55" xfId="0" applyNumberFormat="1" applyFont="1" applyFill="1" applyBorder="1" applyAlignment="1">
      <alignment horizontal="center" vertical="center"/>
    </xf>
    <xf numFmtId="165" fontId="1" fillId="2" borderId="56" xfId="0" applyNumberFormat="1" applyFont="1" applyFill="1" applyBorder="1" applyAlignment="1">
      <alignment horizontal="center" vertical="center"/>
    </xf>
    <xf numFmtId="0" fontId="1" fillId="0" borderId="57" xfId="0" applyFont="1" applyBorder="1" applyAlignment="1">
      <alignment horizontal="center" vertical="center"/>
    </xf>
    <xf numFmtId="0" fontId="1" fillId="0" borderId="58" xfId="0" applyFont="1" applyBorder="1" applyAlignment="1">
      <alignment horizontal="center" vertical="center"/>
    </xf>
    <xf numFmtId="0" fontId="1" fillId="0" borderId="59" xfId="0" applyFont="1" applyBorder="1" applyAlignment="1">
      <alignment horizontal="center" vertical="center"/>
    </xf>
    <xf numFmtId="0" fontId="1" fillId="0" borderId="60" xfId="0" applyFont="1" applyBorder="1" applyAlignment="1">
      <alignment horizontal="center" vertical="center"/>
    </xf>
    <xf numFmtId="0" fontId="1" fillId="3" borderId="61" xfId="0" applyFont="1" applyFill="1" applyBorder="1" applyAlignment="1">
      <alignment horizontal="center" vertical="center"/>
    </xf>
    <xf numFmtId="0" fontId="1" fillId="3" borderId="62" xfId="0" applyFont="1" applyFill="1" applyBorder="1" applyAlignment="1">
      <alignment horizontal="center" vertical="center"/>
    </xf>
    <xf numFmtId="164" fontId="1" fillId="2" borderId="63" xfId="0" applyNumberFormat="1" applyFont="1" applyFill="1" applyBorder="1" applyAlignment="1">
      <alignment horizontal="center" vertical="center"/>
    </xf>
    <xf numFmtId="164" fontId="1" fillId="2" borderId="64" xfId="0" applyNumberFormat="1" applyFont="1" applyFill="1" applyBorder="1" applyAlignment="1">
      <alignment horizontal="center" vertical="center"/>
    </xf>
    <xf numFmtId="0" fontId="1" fillId="0" borderId="65" xfId="0" applyFont="1" applyBorder="1" applyAlignment="1">
      <alignment horizontal="center" vertical="center"/>
    </xf>
    <xf numFmtId="0" fontId="1" fillId="0" borderId="66" xfId="0" applyFont="1" applyBorder="1" applyAlignment="1">
      <alignment horizontal="center" vertical="center"/>
    </xf>
    <xf numFmtId="0" fontId="1" fillId="4" borderId="67" xfId="0" applyFont="1" applyFill="1" applyBorder="1" applyAlignment="1">
      <alignment horizontal="center" vertical="center"/>
    </xf>
    <xf numFmtId="0" fontId="1" fillId="4" borderId="68" xfId="0" applyFont="1" applyFill="1" applyBorder="1" applyAlignment="1">
      <alignment horizontal="center" vertical="center"/>
    </xf>
    <xf numFmtId="0" fontId="1" fillId="4" borderId="69" xfId="0" applyFont="1" applyFill="1" applyBorder="1" applyAlignment="1">
      <alignment horizontal="center" vertical="center"/>
    </xf>
    <xf numFmtId="164" fontId="1" fillId="2" borderId="70" xfId="0" applyNumberFormat="1" applyFont="1" applyFill="1" applyBorder="1" applyAlignment="1">
      <alignment horizontal="center" vertical="center"/>
    </xf>
    <xf numFmtId="165" fontId="1" fillId="2" borderId="72" xfId="0" applyNumberFormat="1" applyFont="1" applyFill="1" applyBorder="1" applyAlignment="1">
      <alignment horizontal="center" vertical="center"/>
    </xf>
    <xf numFmtId="0" fontId="3" fillId="0" borderId="73" xfId="0" applyFont="1" applyBorder="1" applyAlignment="1">
      <alignment horizontal="center" vertical="center"/>
    </xf>
    <xf numFmtId="0" fontId="1" fillId="3" borderId="75" xfId="0" applyFont="1" applyFill="1" applyBorder="1" applyAlignment="1">
      <alignment horizontal="center" vertical="center"/>
    </xf>
    <xf numFmtId="164" fontId="1" fillId="2" borderId="76" xfId="0" applyNumberFormat="1" applyFont="1" applyFill="1" applyBorder="1" applyAlignment="1">
      <alignment horizontal="center" vertical="center"/>
    </xf>
    <xf numFmtId="167" fontId="1" fillId="3" borderId="39" xfId="0" applyNumberFormat="1" applyFont="1" applyFill="1" applyBorder="1" applyAlignment="1">
      <alignment horizontal="center" vertical="center"/>
    </xf>
    <xf numFmtId="164" fontId="1" fillId="2" borderId="71" xfId="0" applyNumberFormat="1" applyFont="1" applyFill="1" applyBorder="1" applyAlignment="1">
      <alignment horizontal="center" vertical="center"/>
    </xf>
    <xf numFmtId="169" fontId="1" fillId="3" borderId="39" xfId="0" applyNumberFormat="1" applyFont="1" applyFill="1" applyBorder="1" applyAlignment="1">
      <alignment horizontal="center" vertical="center"/>
    </xf>
    <xf numFmtId="166" fontId="1" fillId="3" borderId="39" xfId="0" applyNumberFormat="1" applyFont="1" applyFill="1" applyBorder="1" applyAlignment="1">
      <alignment horizontal="center" vertical="center"/>
    </xf>
    <xf numFmtId="168" fontId="1" fillId="3" borderId="39" xfId="0" applyNumberFormat="1" applyFont="1" applyFill="1" applyBorder="1" applyAlignment="1">
      <alignment horizontal="center" vertical="center"/>
    </xf>
    <xf numFmtId="165" fontId="1" fillId="3" borderId="39" xfId="0" applyNumberFormat="1" applyFont="1" applyFill="1" applyBorder="1" applyAlignment="1">
      <alignment horizontal="center" vertical="center"/>
    </xf>
    <xf numFmtId="165" fontId="3" fillId="7" borderId="6" xfId="0" applyNumberFormat="1" applyFont="1" applyFill="1" applyBorder="1" applyAlignment="1">
      <alignment horizontal="center" vertical="center"/>
    </xf>
    <xf numFmtId="168" fontId="1" fillId="3" borderId="52" xfId="0" applyNumberFormat="1" applyFont="1" applyFill="1" applyBorder="1" applyAlignment="1">
      <alignment horizontal="center" vertical="center"/>
    </xf>
    <xf numFmtId="165" fontId="3" fillId="7" borderId="74" xfId="0" applyNumberFormat="1" applyFont="1" applyFill="1" applyBorder="1" applyAlignment="1">
      <alignment horizontal="center" vertical="center"/>
    </xf>
    <xf numFmtId="0" fontId="7" fillId="7" borderId="51" xfId="0" applyFont="1" applyFill="1" applyBorder="1" applyAlignment="1">
      <alignment horizontal="center" vertical="center"/>
    </xf>
    <xf numFmtId="168" fontId="7" fillId="7" borderId="53" xfId="0" applyNumberFormat="1" applyFont="1" applyFill="1" applyBorder="1" applyAlignment="1">
      <alignment horizontal="center" vertical="center"/>
    </xf>
    <xf numFmtId="0" fontId="7" fillId="7" borderId="37" xfId="0" applyFont="1" applyFill="1" applyBorder="1" applyAlignment="1">
      <alignment horizontal="center" vertical="center"/>
    </xf>
    <xf numFmtId="168" fontId="7" fillId="7" borderId="40" xfId="0" applyNumberFormat="1" applyFont="1" applyFill="1" applyBorder="1" applyAlignment="1">
      <alignment horizontal="center" vertical="center"/>
    </xf>
    <xf numFmtId="168" fontId="1" fillId="4" borderId="77" xfId="0" applyNumberFormat="1" applyFont="1" applyFill="1" applyBorder="1" applyAlignment="1">
      <alignment horizontal="center" vertical="center"/>
    </xf>
    <xf numFmtId="168" fontId="1" fillId="4" borderId="78" xfId="0" applyNumberFormat="1" applyFont="1" applyFill="1" applyBorder="1" applyAlignment="1">
      <alignment horizontal="center" vertical="center"/>
    </xf>
    <xf numFmtId="168" fontId="1" fillId="4" borderId="79" xfId="0" applyNumberFormat="1" applyFont="1" applyFill="1" applyBorder="1" applyAlignment="1">
      <alignment horizontal="center" vertical="center"/>
    </xf>
    <xf numFmtId="0" fontId="1" fillId="0" borderId="80" xfId="0" applyFont="1" applyBorder="1" applyAlignment="1">
      <alignment horizontal="center" vertical="center"/>
    </xf>
    <xf numFmtId="0" fontId="1" fillId="0" borderId="81" xfId="0" applyFont="1" applyBorder="1" applyAlignment="1">
      <alignment horizontal="center" vertical="center"/>
    </xf>
    <xf numFmtId="0" fontId="1" fillId="0" borderId="82" xfId="0" applyFont="1" applyBorder="1" applyAlignment="1">
      <alignment horizontal="center" vertical="center"/>
    </xf>
    <xf numFmtId="0" fontId="1" fillId="0" borderId="83" xfId="0" applyFont="1" applyBorder="1" applyAlignment="1">
      <alignment horizontal="center" vertical="center"/>
    </xf>
    <xf numFmtId="0" fontId="1" fillId="0" borderId="84" xfId="0" applyFont="1" applyBorder="1" applyAlignment="1">
      <alignment horizontal="center" vertical="center"/>
    </xf>
    <xf numFmtId="0" fontId="1" fillId="0" borderId="85" xfId="0" applyFont="1" applyBorder="1" applyAlignment="1">
      <alignment horizontal="center" vertical="center"/>
    </xf>
    <xf numFmtId="0" fontId="1" fillId="0" borderId="44" xfId="0" applyFont="1" applyBorder="1" applyAlignment="1">
      <alignment horizontal="center" vertical="center"/>
    </xf>
    <xf numFmtId="168" fontId="1" fillId="0" borderId="45" xfId="0" applyNumberFormat="1" applyFont="1" applyBorder="1" applyAlignment="1">
      <alignment horizontal="center" vertical="center"/>
    </xf>
    <xf numFmtId="0" fontId="7" fillId="7" borderId="36" xfId="0" applyFont="1" applyFill="1" applyBorder="1" applyAlignment="1">
      <alignment horizontal="center" vertical="center"/>
    </xf>
    <xf numFmtId="165" fontId="7" fillId="7" borderId="39" xfId="0" applyNumberFormat="1" applyFont="1" applyFill="1" applyBorder="1" applyAlignment="1">
      <alignment horizontal="center" vertical="center"/>
    </xf>
    <xf numFmtId="165" fontId="7" fillId="7" borderId="40" xfId="0" applyNumberFormat="1" applyFont="1" applyFill="1" applyBorder="1" applyAlignment="1">
      <alignment horizontal="center" vertical="center"/>
    </xf>
    <xf numFmtId="165" fontId="7" fillId="7" borderId="87" xfId="0" applyNumberFormat="1" applyFont="1" applyFill="1" applyBorder="1" applyAlignment="1">
      <alignment horizontal="center" vertical="center"/>
    </xf>
    <xf numFmtId="165" fontId="1" fillId="4" borderId="38" xfId="0" applyNumberFormat="1" applyFont="1" applyFill="1" applyBorder="1" applyAlignment="1">
      <alignment horizontal="center" vertical="center"/>
    </xf>
    <xf numFmtId="0" fontId="1" fillId="0" borderId="88" xfId="0" applyFont="1" applyBorder="1" applyAlignment="1">
      <alignment horizontal="center" vertical="center"/>
    </xf>
    <xf numFmtId="165" fontId="1" fillId="3" borderId="89" xfId="0" applyNumberFormat="1" applyFont="1" applyFill="1" applyBorder="1" applyAlignment="1">
      <alignment horizontal="center" vertical="center"/>
    </xf>
    <xf numFmtId="0" fontId="7" fillId="7" borderId="86" xfId="0" applyFont="1" applyFill="1" applyBorder="1" applyAlignment="1">
      <alignment horizontal="center" vertical="center"/>
    </xf>
    <xf numFmtId="168" fontId="7" fillId="6" borderId="48" xfId="0" applyNumberFormat="1" applyFont="1" applyFill="1" applyBorder="1" applyAlignment="1">
      <alignment horizontal="center" vertical="center"/>
    </xf>
    <xf numFmtId="168" fontId="7" fillId="6" borderId="49" xfId="0" applyNumberFormat="1" applyFont="1" applyFill="1" applyBorder="1" applyAlignment="1">
      <alignment horizontal="center" vertical="center"/>
    </xf>
    <xf numFmtId="0" fontId="1" fillId="0" borderId="44" xfId="0" applyFont="1" applyBorder="1" applyAlignment="1">
      <alignment horizontal="center" vertical="center"/>
    </xf>
    <xf numFmtId="0" fontId="1" fillId="0" borderId="45" xfId="0" applyFont="1" applyBorder="1" applyAlignment="1">
      <alignment horizontal="center" vertical="center"/>
    </xf>
    <xf numFmtId="164" fontId="9" fillId="0" borderId="44" xfId="0" applyNumberFormat="1" applyFont="1" applyBorder="1" applyAlignment="1">
      <alignment horizontal="center" vertical="center"/>
    </xf>
    <xf numFmtId="164" fontId="9" fillId="0" borderId="45" xfId="0" applyNumberFormat="1" applyFont="1" applyBorder="1" applyAlignment="1">
      <alignment horizontal="center" vertical="center"/>
    </xf>
    <xf numFmtId="168" fontId="1" fillId="0" borderId="45" xfId="0" applyNumberFormat="1" applyFont="1" applyBorder="1" applyAlignment="1">
      <alignment horizontal="center" vertical="center"/>
    </xf>
    <xf numFmtId="168" fontId="1" fillId="0" borderId="46" xfId="0" applyNumberFormat="1" applyFont="1" applyBorder="1" applyAlignment="1">
      <alignment horizontal="center" vertical="center"/>
    </xf>
    <xf numFmtId="0" fontId="1" fillId="0" borderId="46" xfId="0" applyFont="1" applyBorder="1" applyAlignment="1">
      <alignment horizontal="center" vertical="center"/>
    </xf>
    <xf numFmtId="164" fontId="1" fillId="9" borderId="90" xfId="0" applyNumberFormat="1" applyFont="1" applyFill="1" applyBorder="1" applyAlignment="1">
      <alignment horizontal="center" vertical="center"/>
    </xf>
    <xf numFmtId="164" fontId="1" fillId="0" borderId="90" xfId="0" applyNumberFormat="1" applyFont="1" applyBorder="1" applyAlignment="1">
      <alignment horizontal="center" vertical="center"/>
    </xf>
    <xf numFmtId="169" fontId="1" fillId="0" borderId="0" xfId="0" applyNumberFormat="1" applyFont="1" applyFill="1" applyAlignment="1">
      <alignment horizontal="center" vertical="center"/>
    </xf>
    <xf numFmtId="0" fontId="1" fillId="9" borderId="90" xfId="0" applyFont="1" applyFill="1" applyBorder="1" applyAlignment="1">
      <alignment horizontal="center" vertical="center"/>
    </xf>
    <xf numFmtId="0" fontId="1" fillId="0" borderId="90" xfId="0" applyFont="1" applyBorder="1" applyAlignment="1">
      <alignment horizontal="center" vertical="center"/>
    </xf>
    <xf numFmtId="0" fontId="11" fillId="8" borderId="97" xfId="0" applyFont="1" applyFill="1" applyBorder="1" applyAlignment="1">
      <alignment horizontal="center" vertical="center"/>
    </xf>
    <xf numFmtId="0" fontId="1" fillId="0" borderId="98" xfId="0" applyFont="1" applyBorder="1" applyAlignment="1">
      <alignment horizontal="center" vertical="center"/>
    </xf>
    <xf numFmtId="164" fontId="1" fillId="0" borderId="98" xfId="0" applyNumberFormat="1" applyFont="1" applyBorder="1" applyAlignment="1">
      <alignment horizontal="center" vertical="center"/>
    </xf>
    <xf numFmtId="165" fontId="7" fillId="0" borderId="0" xfId="0" applyNumberFormat="1" applyFont="1" applyFill="1" applyAlignment="1">
      <alignment horizontal="right" vertical="center"/>
    </xf>
    <xf numFmtId="165" fontId="12" fillId="0" borderId="0" xfId="0" applyNumberFormat="1" applyFont="1" applyFill="1" applyAlignment="1">
      <alignment horizontal="center" vertical="center"/>
    </xf>
    <xf numFmtId="165" fontId="13" fillId="0" borderId="0" xfId="0" applyNumberFormat="1" applyFont="1" applyFill="1" applyAlignment="1">
      <alignment horizontal="center" vertical="center"/>
    </xf>
    <xf numFmtId="164" fontId="1" fillId="0" borderId="0" xfId="0" applyNumberFormat="1" applyFont="1" applyAlignment="1">
      <alignment horizontal="center" vertical="center"/>
    </xf>
    <xf numFmtId="0" fontId="1" fillId="0" borderId="0" xfId="0" applyFont="1" applyFill="1" applyAlignment="1">
      <alignment horizontal="center" vertical="center" wrapText="1"/>
    </xf>
    <xf numFmtId="169" fontId="1" fillId="4" borderId="46" xfId="0" applyNumberFormat="1" applyFont="1" applyFill="1" applyBorder="1" applyAlignment="1">
      <alignment horizontal="center" vertical="center"/>
    </xf>
    <xf numFmtId="0" fontId="1" fillId="0" borderId="47" xfId="0" applyFont="1" applyBorder="1" applyAlignment="1">
      <alignment horizontal="center" vertical="center"/>
    </xf>
    <xf numFmtId="0" fontId="1" fillId="0" borderId="93" xfId="0" applyFont="1" applyBorder="1" applyAlignment="1">
      <alignment horizontal="center" vertical="center"/>
    </xf>
    <xf numFmtId="168" fontId="1" fillId="0" borderId="38" xfId="0" applyNumberFormat="1" applyFont="1" applyBorder="1" applyAlignment="1">
      <alignment horizontal="center" vertical="center"/>
    </xf>
    <xf numFmtId="165" fontId="1" fillId="0" borderId="39" xfId="0" applyNumberFormat="1" applyFont="1" applyBorder="1" applyAlignment="1">
      <alignment horizontal="center" vertical="center"/>
    </xf>
    <xf numFmtId="169" fontId="1" fillId="0" borderId="39" xfId="0" applyNumberFormat="1" applyFont="1" applyFill="1" applyBorder="1" applyAlignment="1">
      <alignment horizontal="center" vertical="center"/>
    </xf>
    <xf numFmtId="169" fontId="1" fillId="4" borderId="39" xfId="0" applyNumberFormat="1" applyFont="1" applyFill="1" applyBorder="1" applyAlignment="1">
      <alignment horizontal="center" vertical="center"/>
    </xf>
    <xf numFmtId="169" fontId="1" fillId="0" borderId="39" xfId="0" applyNumberFormat="1" applyFont="1" applyBorder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1" fillId="4" borderId="92" xfId="0" applyFont="1" applyFill="1" applyBorder="1" applyAlignment="1">
      <alignment horizontal="center" vertical="center" wrapText="1"/>
    </xf>
    <xf numFmtId="0" fontId="1" fillId="4" borderId="93" xfId="0" applyFont="1" applyFill="1" applyBorder="1" applyAlignment="1">
      <alignment horizontal="center" vertical="center" wrapText="1"/>
    </xf>
    <xf numFmtId="169" fontId="1" fillId="0" borderId="45" xfId="0" applyNumberFormat="1" applyFont="1" applyFill="1" applyBorder="1" applyAlignment="1">
      <alignment horizontal="center" vertical="center"/>
    </xf>
    <xf numFmtId="165" fontId="1" fillId="0" borderId="45" xfId="0" applyNumberFormat="1" applyFont="1" applyFill="1" applyBorder="1" applyAlignment="1">
      <alignment horizontal="center" vertical="center"/>
    </xf>
    <xf numFmtId="165" fontId="1" fillId="3" borderId="45" xfId="0" applyNumberFormat="1" applyFont="1" applyFill="1" applyBorder="1" applyAlignment="1">
      <alignment horizontal="center" vertical="center"/>
    </xf>
    <xf numFmtId="0" fontId="1" fillId="0" borderId="101" xfId="0" applyFont="1" applyBorder="1" applyAlignment="1">
      <alignment horizontal="center" vertical="center"/>
    </xf>
    <xf numFmtId="165" fontId="1" fillId="4" borderId="96" xfId="0" applyNumberFormat="1" applyFont="1" applyFill="1" applyBorder="1" applyAlignment="1">
      <alignment horizontal="center" vertical="center" wrapText="1"/>
    </xf>
    <xf numFmtId="165" fontId="1" fillId="3" borderId="52" xfId="0" applyNumberFormat="1" applyFont="1" applyFill="1" applyBorder="1" applyAlignment="1">
      <alignment horizontal="center" vertical="center"/>
    </xf>
    <xf numFmtId="0" fontId="15" fillId="7" borderId="102" xfId="0" applyFont="1" applyFill="1" applyBorder="1" applyAlignment="1">
      <alignment horizontal="center" vertical="center"/>
    </xf>
    <xf numFmtId="0" fontId="15" fillId="7" borderId="103" xfId="0" applyFont="1" applyFill="1" applyBorder="1" applyAlignment="1">
      <alignment horizontal="center" vertical="center"/>
    </xf>
    <xf numFmtId="169" fontId="15" fillId="7" borderId="25" xfId="0" applyNumberFormat="1" applyFont="1" applyFill="1" applyBorder="1" applyAlignment="1">
      <alignment horizontal="center" vertical="center"/>
    </xf>
    <xf numFmtId="165" fontId="1" fillId="3" borderId="0" xfId="0" applyNumberFormat="1" applyFont="1" applyFill="1" applyBorder="1" applyAlignment="1">
      <alignment horizontal="center" vertical="center"/>
    </xf>
    <xf numFmtId="165" fontId="1" fillId="3" borderId="109" xfId="0" applyNumberFormat="1" applyFont="1" applyFill="1" applyBorder="1" applyAlignment="1">
      <alignment horizontal="center" vertical="center"/>
    </xf>
    <xf numFmtId="0" fontId="1" fillId="0" borderId="110" xfId="0" applyFont="1" applyBorder="1" applyAlignment="1">
      <alignment horizontal="center" vertical="center"/>
    </xf>
    <xf numFmtId="0" fontId="1" fillId="0" borderId="37" xfId="0" applyFont="1" applyBorder="1" applyAlignment="1">
      <alignment horizontal="center" vertical="center"/>
    </xf>
    <xf numFmtId="0" fontId="1" fillId="3" borderId="99" xfId="0" applyFont="1" applyFill="1" applyBorder="1" applyAlignment="1">
      <alignment horizontal="center" vertical="center"/>
    </xf>
    <xf numFmtId="0" fontId="1" fillId="3" borderId="113" xfId="0" applyFont="1" applyFill="1" applyBorder="1" applyAlignment="1">
      <alignment horizontal="center" vertical="center"/>
    </xf>
    <xf numFmtId="0" fontId="1" fillId="0" borderId="96" xfId="0" applyFont="1" applyFill="1" applyBorder="1" applyAlignment="1">
      <alignment horizontal="left" vertical="center"/>
    </xf>
    <xf numFmtId="0" fontId="1" fillId="0" borderId="115" xfId="0" applyFont="1" applyFill="1" applyBorder="1" applyAlignment="1">
      <alignment horizontal="center" vertical="center"/>
    </xf>
    <xf numFmtId="0" fontId="1" fillId="0" borderId="116" xfId="0" applyFont="1" applyFill="1" applyBorder="1" applyAlignment="1">
      <alignment horizontal="center" vertical="center"/>
    </xf>
    <xf numFmtId="168" fontId="1" fillId="4" borderId="40" xfId="0" applyNumberFormat="1" applyFont="1" applyFill="1" applyBorder="1" applyAlignment="1">
      <alignment horizontal="center" vertical="center"/>
    </xf>
    <xf numFmtId="165" fontId="1" fillId="4" borderId="39" xfId="0" applyNumberFormat="1" applyFont="1" applyFill="1" applyBorder="1" applyAlignment="1">
      <alignment horizontal="center" vertical="center" wrapText="1"/>
    </xf>
    <xf numFmtId="0" fontId="7" fillId="7" borderId="117" xfId="0" applyFont="1" applyFill="1" applyBorder="1" applyAlignment="1">
      <alignment horizontal="center" vertical="center"/>
    </xf>
    <xf numFmtId="0" fontId="7" fillId="7" borderId="118" xfId="0" applyFont="1" applyFill="1" applyBorder="1" applyAlignment="1">
      <alignment horizontal="center" vertical="center"/>
    </xf>
    <xf numFmtId="0" fontId="1" fillId="3" borderId="120" xfId="0" applyFont="1" applyFill="1" applyBorder="1" applyAlignment="1">
      <alignment horizontal="center" vertical="center"/>
    </xf>
    <xf numFmtId="165" fontId="1" fillId="4" borderId="121" xfId="0" applyNumberFormat="1" applyFont="1" applyFill="1" applyBorder="1" applyAlignment="1">
      <alignment horizontal="center" vertical="center"/>
    </xf>
    <xf numFmtId="164" fontId="1" fillId="4" borderId="122" xfId="0" applyNumberFormat="1" applyFont="1" applyFill="1" applyBorder="1" applyAlignment="1">
      <alignment horizontal="center" vertical="center"/>
    </xf>
    <xf numFmtId="0" fontId="1" fillId="3" borderId="123" xfId="0" applyFont="1" applyFill="1" applyBorder="1" applyAlignment="1">
      <alignment horizontal="center" vertical="center"/>
    </xf>
    <xf numFmtId="165" fontId="1" fillId="4" borderId="124" xfId="0" applyNumberFormat="1" applyFont="1" applyFill="1" applyBorder="1" applyAlignment="1">
      <alignment horizontal="center" vertical="center"/>
    </xf>
    <xf numFmtId="164" fontId="1" fillId="4" borderId="125" xfId="0" applyNumberFormat="1" applyFont="1" applyFill="1" applyBorder="1" applyAlignment="1">
      <alignment horizontal="center" vertical="center"/>
    </xf>
    <xf numFmtId="0" fontId="1" fillId="3" borderId="126" xfId="0" applyFont="1" applyFill="1" applyBorder="1" applyAlignment="1">
      <alignment horizontal="center" vertical="center"/>
    </xf>
    <xf numFmtId="165" fontId="1" fillId="4" borderId="127" xfId="0" applyNumberFormat="1" applyFont="1" applyFill="1" applyBorder="1" applyAlignment="1">
      <alignment horizontal="center" vertical="center"/>
    </xf>
    <xf numFmtId="164" fontId="1" fillId="4" borderId="128" xfId="0" applyNumberFormat="1" applyFont="1" applyFill="1" applyBorder="1" applyAlignment="1">
      <alignment horizontal="center" vertical="center"/>
    </xf>
    <xf numFmtId="0" fontId="1" fillId="3" borderId="129" xfId="0" applyFont="1" applyFill="1" applyBorder="1" applyAlignment="1">
      <alignment horizontal="center" vertical="center"/>
    </xf>
    <xf numFmtId="165" fontId="1" fillId="4" borderId="130" xfId="0" applyNumberFormat="1" applyFont="1" applyFill="1" applyBorder="1" applyAlignment="1">
      <alignment horizontal="center" vertical="center"/>
    </xf>
    <xf numFmtId="164" fontId="1" fillId="4" borderId="131" xfId="0" applyNumberFormat="1" applyFont="1" applyFill="1" applyBorder="1" applyAlignment="1">
      <alignment horizontal="center" vertical="center"/>
    </xf>
    <xf numFmtId="0" fontId="1" fillId="3" borderId="132" xfId="0" applyFont="1" applyFill="1" applyBorder="1" applyAlignment="1">
      <alignment horizontal="center" vertical="center"/>
    </xf>
    <xf numFmtId="165" fontId="1" fillId="4" borderId="133" xfId="0" applyNumberFormat="1" applyFont="1" applyFill="1" applyBorder="1" applyAlignment="1">
      <alignment horizontal="center" vertical="center"/>
    </xf>
    <xf numFmtId="0" fontId="1" fillId="3" borderId="134" xfId="0" applyFont="1" applyFill="1" applyBorder="1" applyAlignment="1">
      <alignment horizontal="center" vertical="center"/>
    </xf>
    <xf numFmtId="165" fontId="1" fillId="4" borderId="135" xfId="0" applyNumberFormat="1" applyFont="1" applyFill="1" applyBorder="1" applyAlignment="1">
      <alignment horizontal="center" vertical="center"/>
    </xf>
    <xf numFmtId="164" fontId="1" fillId="4" borderId="136" xfId="0" applyNumberFormat="1" applyFont="1" applyFill="1" applyBorder="1" applyAlignment="1">
      <alignment horizontal="center" vertical="center"/>
    </xf>
    <xf numFmtId="0" fontId="1" fillId="0" borderId="95" xfId="0" applyFont="1" applyBorder="1" applyAlignment="1">
      <alignment horizontal="center" vertical="center"/>
    </xf>
    <xf numFmtId="0" fontId="1" fillId="0" borderId="137" xfId="0" applyFont="1" applyBorder="1" applyAlignment="1">
      <alignment horizontal="center" vertical="center"/>
    </xf>
    <xf numFmtId="0" fontId="16" fillId="0" borderId="94" xfId="0" applyFont="1" applyBorder="1" applyAlignment="1">
      <alignment horizontal="center" vertical="center" textRotation="90"/>
    </xf>
    <xf numFmtId="0" fontId="16" fillId="0" borderId="138" xfId="0" applyFont="1" applyBorder="1" applyAlignment="1">
      <alignment horizontal="center" vertical="center" textRotation="90"/>
    </xf>
    <xf numFmtId="0" fontId="16" fillId="0" borderId="137" xfId="0" applyFont="1" applyBorder="1" applyAlignment="1">
      <alignment horizontal="center" vertical="center" textRotation="90"/>
    </xf>
    <xf numFmtId="165" fontId="1" fillId="3" borderId="108" xfId="0" applyNumberFormat="1" applyFont="1" applyFill="1" applyBorder="1" applyAlignment="1">
      <alignment horizontal="center" vertical="center"/>
    </xf>
    <xf numFmtId="165" fontId="1" fillId="4" borderId="139" xfId="0" applyNumberFormat="1" applyFont="1" applyFill="1" applyBorder="1" applyAlignment="1">
      <alignment horizontal="center" vertical="center"/>
    </xf>
    <xf numFmtId="165" fontId="1" fillId="4" borderId="140" xfId="0" applyNumberFormat="1" applyFont="1" applyFill="1" applyBorder="1" applyAlignment="1">
      <alignment horizontal="center" vertical="center"/>
    </xf>
    <xf numFmtId="165" fontId="1" fillId="4" borderId="141" xfId="0" applyNumberFormat="1" applyFont="1" applyFill="1" applyBorder="1" applyAlignment="1">
      <alignment horizontal="center" vertical="center"/>
    </xf>
    <xf numFmtId="165" fontId="1" fillId="4" borderId="142" xfId="0" applyNumberFormat="1" applyFont="1" applyFill="1" applyBorder="1" applyAlignment="1">
      <alignment horizontal="center" vertical="center"/>
    </xf>
    <xf numFmtId="165" fontId="1" fillId="4" borderId="143" xfId="0" applyNumberFormat="1" applyFont="1" applyFill="1" applyBorder="1" applyAlignment="1">
      <alignment horizontal="center" vertical="center"/>
    </xf>
    <xf numFmtId="165" fontId="1" fillId="4" borderId="144" xfId="0" applyNumberFormat="1" applyFont="1" applyFill="1" applyBorder="1" applyAlignment="1">
      <alignment horizontal="center" vertical="center"/>
    </xf>
    <xf numFmtId="169" fontId="7" fillId="7" borderId="25" xfId="0" applyNumberFormat="1" applyFont="1" applyFill="1" applyBorder="1" applyAlignment="1">
      <alignment horizontal="center" vertical="center"/>
    </xf>
    <xf numFmtId="0" fontId="7" fillId="7" borderId="117" xfId="0" applyFont="1" applyFill="1" applyBorder="1" applyAlignment="1">
      <alignment horizontal="center" vertical="center"/>
    </xf>
    <xf numFmtId="168" fontId="1" fillId="3" borderId="38" xfId="0" applyNumberFormat="1" applyFont="1" applyFill="1" applyBorder="1" applyAlignment="1">
      <alignment horizontal="center" vertical="center"/>
    </xf>
    <xf numFmtId="165" fontId="1" fillId="3" borderId="39" xfId="0" applyNumberFormat="1" applyFont="1" applyFill="1" applyBorder="1" applyAlignment="1">
      <alignment horizontal="center" vertical="center" wrapText="1"/>
    </xf>
    <xf numFmtId="168" fontId="1" fillId="3" borderId="40" xfId="0" applyNumberFormat="1" applyFont="1" applyFill="1" applyBorder="1" applyAlignment="1">
      <alignment horizontal="center" vertical="center"/>
    </xf>
    <xf numFmtId="0" fontId="7" fillId="7" borderId="145" xfId="0" applyFont="1" applyFill="1" applyBorder="1" applyAlignment="1">
      <alignment horizontal="center" vertical="center"/>
    </xf>
    <xf numFmtId="165" fontId="7" fillId="7" borderId="146" xfId="0" applyNumberFormat="1" applyFont="1" applyFill="1" applyBorder="1" applyAlignment="1">
      <alignment horizontal="center" vertical="center"/>
    </xf>
    <xf numFmtId="0" fontId="2" fillId="7" borderId="147" xfId="0" applyFont="1" applyFill="1" applyBorder="1" applyAlignment="1">
      <alignment horizontal="center" vertical="center"/>
    </xf>
    <xf numFmtId="165" fontId="2" fillId="4" borderId="148" xfId="0" applyNumberFormat="1" applyFont="1" applyFill="1" applyBorder="1" applyAlignment="1">
      <alignment horizontal="center" vertical="center"/>
    </xf>
    <xf numFmtId="0" fontId="2" fillId="7" borderId="149" xfId="0" applyFont="1" applyFill="1" applyBorder="1" applyAlignment="1">
      <alignment horizontal="center" vertical="center"/>
    </xf>
    <xf numFmtId="165" fontId="2" fillId="4" borderId="150" xfId="0" applyNumberFormat="1" applyFont="1" applyFill="1" applyBorder="1" applyAlignment="1">
      <alignment horizontal="center" vertical="center"/>
    </xf>
    <xf numFmtId="165" fontId="2" fillId="3" borderId="148" xfId="0" applyNumberFormat="1" applyFont="1" applyFill="1" applyBorder="1" applyAlignment="1">
      <alignment horizontal="center" vertical="center"/>
    </xf>
    <xf numFmtId="0" fontId="17" fillId="0" borderId="0" xfId="0" applyFont="1" applyAlignment="1">
      <alignment horizontal="left" vertical="center"/>
    </xf>
    <xf numFmtId="169" fontId="1" fillId="0" borderId="0" xfId="0" applyNumberFormat="1" applyFont="1" applyAlignment="1">
      <alignment horizontal="center" vertical="center"/>
    </xf>
    <xf numFmtId="169" fontId="1" fillId="0" borderId="43" xfId="0" applyNumberFormat="1" applyFont="1" applyBorder="1" applyAlignment="1">
      <alignment horizontal="center" vertical="center"/>
    </xf>
    <xf numFmtId="169" fontId="1" fillId="0" borderId="119" xfId="0" applyNumberFormat="1" applyFont="1" applyBorder="1" applyAlignment="1">
      <alignment horizontal="center" vertical="center"/>
    </xf>
    <xf numFmtId="169" fontId="1" fillId="0" borderId="49" xfId="0" applyNumberFormat="1" applyFont="1" applyBorder="1" applyAlignment="1">
      <alignment horizontal="center" vertical="center"/>
    </xf>
    <xf numFmtId="0" fontId="1" fillId="10" borderId="151" xfId="0" applyFont="1" applyFill="1" applyBorder="1" applyAlignment="1">
      <alignment horizontal="center" vertical="center"/>
    </xf>
    <xf numFmtId="0" fontId="1" fillId="10" borderId="152" xfId="0" applyFont="1" applyFill="1" applyBorder="1" applyAlignment="1">
      <alignment horizontal="center" vertical="center" wrapText="1"/>
    </xf>
    <xf numFmtId="0" fontId="7" fillId="11" borderId="104" xfId="0" applyFont="1" applyFill="1" applyBorder="1" applyAlignment="1">
      <alignment horizontal="center" vertical="center"/>
    </xf>
    <xf numFmtId="169" fontId="7" fillId="11" borderId="105" xfId="0" applyNumberFormat="1" applyFont="1" applyFill="1" applyBorder="1" applyAlignment="1">
      <alignment horizontal="center" vertical="center"/>
    </xf>
    <xf numFmtId="0" fontId="7" fillId="11" borderId="47" xfId="0" applyFont="1" applyFill="1" applyBorder="1" applyAlignment="1">
      <alignment horizontal="center" vertical="center"/>
    </xf>
    <xf numFmtId="169" fontId="7" fillId="11" borderId="49" xfId="0" applyNumberFormat="1" applyFont="1" applyFill="1" applyBorder="1" applyAlignment="1">
      <alignment horizontal="center" vertical="center"/>
    </xf>
    <xf numFmtId="0" fontId="1" fillId="0" borderId="94" xfId="0" applyFont="1" applyBorder="1" applyAlignment="1">
      <alignment horizontal="center" vertical="center" textRotation="90" wrapText="1"/>
    </xf>
    <xf numFmtId="0" fontId="1" fillId="0" borderId="138" xfId="0" applyFont="1" applyBorder="1" applyAlignment="1">
      <alignment horizontal="center" vertical="center" textRotation="90" wrapText="1"/>
    </xf>
    <xf numFmtId="0" fontId="1" fillId="0" borderId="137" xfId="0" applyFont="1" applyBorder="1" applyAlignment="1">
      <alignment horizontal="center" vertical="center" textRotation="90" wrapText="1"/>
    </xf>
    <xf numFmtId="168" fontId="1" fillId="4" borderId="45" xfId="0" applyNumberFormat="1" applyFont="1" applyFill="1" applyBorder="1" applyAlignment="1">
      <alignment horizontal="center" vertical="center"/>
    </xf>
    <xf numFmtId="168" fontId="1" fillId="0" borderId="45" xfId="0" applyNumberFormat="1" applyFont="1" applyFill="1" applyBorder="1" applyAlignment="1">
      <alignment horizontal="center" vertical="center"/>
    </xf>
    <xf numFmtId="169" fontId="7" fillId="0" borderId="45" xfId="0" applyNumberFormat="1" applyFont="1" applyBorder="1" applyAlignment="1">
      <alignment horizontal="center" vertical="center"/>
    </xf>
    <xf numFmtId="168" fontId="1" fillId="4" borderId="112" xfId="0" applyNumberFormat="1" applyFont="1" applyFill="1" applyBorder="1" applyAlignment="1">
      <alignment horizontal="center" vertical="center"/>
    </xf>
    <xf numFmtId="0" fontId="1" fillId="0" borderId="100" xfId="0" applyFont="1" applyBorder="1" applyAlignment="1">
      <alignment horizontal="center" vertical="center"/>
    </xf>
    <xf numFmtId="168" fontId="1" fillId="4" borderId="111" xfId="0" applyNumberFormat="1" applyFont="1" applyFill="1" applyBorder="1" applyAlignment="1">
      <alignment horizontal="center" vertical="center"/>
    </xf>
    <xf numFmtId="168" fontId="1" fillId="4" borderId="106" xfId="0" applyNumberFormat="1" applyFont="1" applyFill="1" applyBorder="1" applyAlignment="1">
      <alignment horizontal="center" vertical="center"/>
    </xf>
    <xf numFmtId="168" fontId="1" fillId="0" borderId="106" xfId="0" applyNumberFormat="1" applyFont="1" applyFill="1" applyBorder="1" applyAlignment="1">
      <alignment horizontal="center" vertical="center"/>
    </xf>
    <xf numFmtId="165" fontId="1" fillId="0" borderId="106" xfId="0" applyNumberFormat="1" applyFont="1" applyFill="1" applyBorder="1" applyAlignment="1">
      <alignment horizontal="center" vertical="center"/>
    </xf>
    <xf numFmtId="169" fontId="7" fillId="0" borderId="106" xfId="0" applyNumberFormat="1" applyFont="1" applyBorder="1" applyAlignment="1">
      <alignment horizontal="center" vertical="center"/>
    </xf>
    <xf numFmtId="168" fontId="1" fillId="0" borderId="155" xfId="0" applyNumberFormat="1" applyFont="1" applyFill="1" applyBorder="1" applyAlignment="1">
      <alignment horizontal="center" vertical="center"/>
    </xf>
    <xf numFmtId="168" fontId="1" fillId="4" borderId="91" xfId="0" applyNumberFormat="1" applyFont="1" applyFill="1" applyBorder="1" applyAlignment="1">
      <alignment horizontal="center" vertical="center"/>
    </xf>
    <xf numFmtId="168" fontId="1" fillId="4" borderId="156" xfId="0" applyNumberFormat="1" applyFont="1" applyFill="1" applyBorder="1" applyAlignment="1">
      <alignment horizontal="center" vertical="center"/>
    </xf>
    <xf numFmtId="168" fontId="1" fillId="0" borderId="156" xfId="0" applyNumberFormat="1" applyFont="1" applyFill="1" applyBorder="1" applyAlignment="1">
      <alignment horizontal="center" vertical="center"/>
    </xf>
    <xf numFmtId="165" fontId="1" fillId="0" borderId="156" xfId="0" applyNumberFormat="1" applyFont="1" applyFill="1" applyBorder="1" applyAlignment="1">
      <alignment horizontal="center" vertical="center"/>
    </xf>
    <xf numFmtId="169" fontId="7" fillId="0" borderId="156" xfId="0" applyNumberFormat="1" applyFont="1" applyBorder="1" applyAlignment="1">
      <alignment horizontal="center" vertical="center"/>
    </xf>
    <xf numFmtId="168" fontId="1" fillId="12" borderId="78" xfId="0" applyNumberFormat="1" applyFont="1" applyFill="1" applyBorder="1" applyAlignment="1">
      <alignment horizontal="center" vertical="center"/>
    </xf>
    <xf numFmtId="0" fontId="7" fillId="11" borderId="44" xfId="0" applyFont="1" applyFill="1" applyBorder="1" applyAlignment="1">
      <alignment horizontal="center" vertical="center"/>
    </xf>
    <xf numFmtId="169" fontId="7" fillId="11" borderId="46" xfId="0" applyNumberFormat="1" applyFont="1" applyFill="1" applyBorder="1" applyAlignment="1">
      <alignment horizontal="center" vertical="center"/>
    </xf>
    <xf numFmtId="165" fontId="1" fillId="0" borderId="107" xfId="0" applyNumberFormat="1" applyFont="1" applyBorder="1" applyAlignment="1">
      <alignment horizontal="center" vertical="center"/>
    </xf>
    <xf numFmtId="165" fontId="1" fillId="0" borderId="114" xfId="0" applyNumberFormat="1" applyFont="1" applyBorder="1" applyAlignment="1">
      <alignment horizontal="center" vertical="center"/>
    </xf>
    <xf numFmtId="168" fontId="2" fillId="12" borderId="154" xfId="0" applyNumberFormat="1" applyFont="1" applyFill="1" applyBorder="1" applyAlignment="1">
      <alignment horizontal="center" vertical="center"/>
    </xf>
    <xf numFmtId="168" fontId="1" fillId="0" borderId="153" xfId="0" applyNumberFormat="1" applyFont="1" applyFill="1" applyBorder="1" applyAlignment="1">
      <alignment horizontal="center" vertical="center"/>
    </xf>
    <xf numFmtId="165" fontId="7" fillId="12" borderId="79" xfId="0" applyNumberFormat="1" applyFont="1" applyFill="1" applyBorder="1" applyAlignment="1">
      <alignment horizontal="center" vertical="center"/>
    </xf>
    <xf numFmtId="0" fontId="1" fillId="3" borderId="29" xfId="0" applyFont="1" applyFill="1" applyBorder="1" applyAlignment="1">
      <alignment horizontal="center" vertical="center"/>
    </xf>
    <xf numFmtId="0" fontId="1" fillId="0" borderId="157" xfId="0" applyFont="1" applyBorder="1" applyAlignment="1">
      <alignment horizontal="center" vertical="center"/>
    </xf>
    <xf numFmtId="0" fontId="7" fillId="0" borderId="81" xfId="0" applyFont="1" applyBorder="1" applyAlignment="1">
      <alignment horizontal="center" vertical="center"/>
    </xf>
    <xf numFmtId="0" fontId="7" fillId="0" borderId="82" xfId="0" applyFont="1" applyBorder="1" applyAlignment="1">
      <alignment horizontal="center" vertical="center"/>
    </xf>
    <xf numFmtId="0" fontId="1" fillId="3" borderId="26" xfId="0" applyFont="1" applyFill="1" applyBorder="1" applyAlignment="1">
      <alignment horizontal="center" vertical="center"/>
    </xf>
    <xf numFmtId="0" fontId="1" fillId="0" borderId="158" xfId="0" applyFont="1" applyBorder="1" applyAlignment="1">
      <alignment horizontal="center" vertical="center"/>
    </xf>
    <xf numFmtId="0" fontId="1" fillId="0" borderId="159" xfId="0" applyFont="1" applyBorder="1" applyAlignment="1">
      <alignment horizontal="center" vertical="center"/>
    </xf>
    <xf numFmtId="0" fontId="7" fillId="0" borderId="159" xfId="0" applyFont="1" applyBorder="1" applyAlignment="1">
      <alignment horizontal="center" vertical="center"/>
    </xf>
    <xf numFmtId="0" fontId="7" fillId="0" borderId="160" xfId="0" applyFont="1" applyBorder="1" applyAlignment="1">
      <alignment horizontal="center" vertical="center"/>
    </xf>
    <xf numFmtId="0" fontId="1" fillId="0" borderId="0" xfId="0" applyFont="1" applyAlignment="1" applyProtection="1">
      <alignment horizontal="center" vertical="center"/>
      <protection locked="0"/>
    </xf>
    <xf numFmtId="0" fontId="1" fillId="0" borderId="0" xfId="0" applyFont="1" applyAlignment="1" applyProtection="1">
      <alignment horizontal="left" vertical="center"/>
      <protection locked="0"/>
    </xf>
    <xf numFmtId="0" fontId="1" fillId="0" borderId="35" xfId="0" applyFont="1" applyBorder="1" applyAlignment="1" applyProtection="1">
      <alignment horizontal="center" vertical="center"/>
      <protection locked="0"/>
    </xf>
    <xf numFmtId="168" fontId="1" fillId="4" borderId="38" xfId="0" applyNumberFormat="1" applyFont="1" applyFill="1" applyBorder="1" applyAlignment="1" applyProtection="1">
      <alignment horizontal="center" vertical="center"/>
      <protection locked="0"/>
    </xf>
    <xf numFmtId="168" fontId="1" fillId="0" borderId="0" xfId="0" applyNumberFormat="1" applyFont="1" applyFill="1" applyAlignment="1" applyProtection="1">
      <alignment horizontal="left" vertical="center"/>
      <protection locked="0"/>
    </xf>
    <xf numFmtId="0" fontId="1" fillId="0" borderId="36" xfId="0" applyFont="1" applyBorder="1" applyAlignment="1" applyProtection="1">
      <alignment horizontal="center" vertical="center"/>
      <protection locked="0"/>
    </xf>
    <xf numFmtId="0" fontId="1" fillId="4" borderId="39" xfId="0" applyFont="1" applyFill="1" applyBorder="1" applyAlignment="1" applyProtection="1">
      <alignment horizontal="center" vertical="center"/>
      <protection locked="0"/>
    </xf>
    <xf numFmtId="168" fontId="1" fillId="4" borderId="39" xfId="0" applyNumberFormat="1" applyFont="1" applyFill="1" applyBorder="1" applyAlignment="1" applyProtection="1">
      <alignment horizontal="center" vertical="center"/>
      <protection locked="0"/>
    </xf>
    <xf numFmtId="164" fontId="1" fillId="4" borderId="39" xfId="0" applyNumberFormat="1" applyFont="1" applyFill="1" applyBorder="1" applyAlignment="1" applyProtection="1">
      <alignment horizontal="center" vertical="center"/>
      <protection locked="0"/>
    </xf>
    <xf numFmtId="0" fontId="7" fillId="6" borderId="37" xfId="0" applyFont="1" applyFill="1" applyBorder="1" applyAlignment="1" applyProtection="1">
      <alignment horizontal="center" vertical="center"/>
      <protection locked="0"/>
    </xf>
    <xf numFmtId="168" fontId="2" fillId="0" borderId="0" xfId="0" applyNumberFormat="1" applyFont="1" applyFill="1" applyAlignment="1" applyProtection="1">
      <alignment horizontal="left" vertical="center"/>
      <protection locked="0"/>
    </xf>
    <xf numFmtId="168" fontId="7" fillId="6" borderId="40" xfId="0" applyNumberFormat="1" applyFont="1" applyFill="1" applyBorder="1" applyAlignment="1" applyProtection="1">
      <alignment horizontal="center" vertical="center"/>
    </xf>
    <xf numFmtId="168" fontId="1" fillId="0" borderId="39" xfId="0" applyNumberFormat="1" applyFont="1" applyFill="1" applyBorder="1" applyAlignment="1" applyProtection="1">
      <alignment horizontal="center" vertical="center"/>
    </xf>
    <xf numFmtId="164" fontId="1" fillId="0" borderId="39" xfId="0" applyNumberFormat="1" applyFont="1" applyFill="1" applyBorder="1" applyAlignment="1" applyProtection="1">
      <alignment horizontal="center" vertical="center"/>
    </xf>
  </cellXfs>
  <cellStyles count="1">
    <cellStyle name="Normal" xfId="0" builtinId="0"/>
  </cellStyles>
  <dxfs count="67">
    <dxf>
      <fill>
        <patternFill>
          <bgColor rgb="FFFFEBEB"/>
        </patternFill>
      </fill>
    </dxf>
    <dxf>
      <fill>
        <patternFill>
          <bgColor rgb="FFE1FFFF"/>
        </patternFill>
      </fill>
    </dxf>
    <dxf>
      <font>
        <b/>
        <i val="0"/>
        <color rgb="FFFF0000"/>
      </font>
    </dxf>
    <dxf>
      <font>
        <b val="0"/>
        <i val="0"/>
        <color rgb="FF0000FF"/>
      </font>
    </dxf>
    <dxf>
      <font>
        <b/>
        <i val="0"/>
        <color rgb="FFFF0000"/>
      </font>
      <fill>
        <patternFill>
          <bgColor rgb="FFFFE1E1"/>
        </patternFill>
      </fill>
      <border>
        <left style="thin">
          <color rgb="FFFF0000"/>
        </left>
        <right style="thin">
          <color rgb="FFFF0000"/>
        </right>
        <top style="thin">
          <color rgb="FFFF0000"/>
        </top>
        <bottom style="thin">
          <color rgb="FFFF0000"/>
        </bottom>
        <vertical/>
        <horizontal/>
      </border>
    </dxf>
    <dxf>
      <font>
        <b/>
        <i val="0"/>
        <color rgb="FFFF0000"/>
      </font>
      <fill>
        <patternFill>
          <bgColor rgb="FFFFE1E1"/>
        </patternFill>
      </fill>
    </dxf>
    <dxf>
      <font>
        <b/>
        <i val="0"/>
        <color rgb="FF0000FF"/>
      </font>
      <fill>
        <patternFill>
          <bgColor rgb="FFCDFFFF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4" formatCode="[$-3000401]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5" formatCode="[$-3000401]0.0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4" formatCode="[$-3000401]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8" formatCode="[$-3000401]0.0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0"/>
        <name val="MV Boli"/>
        <scheme val="none"/>
      </font>
      <fill>
        <patternFill patternType="solid">
          <fgColor theme="4"/>
          <bgColor theme="4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4" formatCode="[$-3000401]0"/>
      <alignment horizontal="center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alignment horizontal="center" vertical="center" textRotation="0" wrapText="0" indent="0" justifyLastLine="0" shrinkToFit="0" readingOrder="0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border outline="0">
        <top style="thin">
          <color theme="4" tint="0.39997558519241921"/>
        </top>
      </border>
    </dxf>
    <dxf>
      <border outline="0">
        <bottom style="thin">
          <color theme="4" tint="0.39997558519241921"/>
        </bottom>
      </border>
    </dxf>
    <dxf>
      <border outline="0">
        <left style="thin">
          <color theme="4" tint="0.39997558519241921"/>
        </left>
        <right style="thin">
          <color theme="4" tint="0.39997558519241921"/>
        </right>
        <top style="thin">
          <color theme="4" tint="0.39997558519241921"/>
        </top>
        <bottom style="thin">
          <color theme="4" tint="0.39997558519241921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5" formatCode="[$-3000401]0.0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5" formatCode="[$-3000401]0.0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5" formatCode="[$-3000401]0.0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5" formatCode="[$-3000401]0.0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5" formatCode="[$-3000401]0.0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5" formatCode="[$-3000401]0.0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5" formatCode="[$-3000401]0.0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9" formatCode="[$-3000401]0.00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8" formatCode="[$-3000401]0.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6" formatCode="[$-3000401]0.#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4" formatCode="[$-3000401]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4" formatCode="[$-3000401]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4" formatCode="[$-3000401]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8" formatCode="[$-3000401]0.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8" formatCode="[$-3000401]0.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4" formatCode="[$-3000401]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4" formatCode="[$-3000401]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numFmt numFmtId="164" formatCode="[$-3000401]0"/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6"/>
        <color theme="1"/>
        <name val="MV Boli"/>
        <scheme val="none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colors>
    <mruColors>
      <color rgb="FFD9FFFF"/>
      <color rgb="FFE1FFFF"/>
      <color rgb="FF0000FF"/>
      <color rgb="FFFFEBEB"/>
      <color rgb="FFFFE1E1"/>
      <color rgb="FFDDFFE8"/>
      <color rgb="FF66FF99"/>
      <color rgb="FFCDFFFF"/>
      <color rgb="FFEE0000"/>
      <color rgb="FFFF2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5" Type="http://schemas.openxmlformats.org/officeDocument/2006/relationships/image" Target="../media/image36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5" Type="http://schemas.openxmlformats.org/officeDocument/2006/relationships/image" Target="../media/image10.png"/><Relationship Id="rId4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.png"/><Relationship Id="rId3" Type="http://schemas.openxmlformats.org/officeDocument/2006/relationships/image" Target="../media/image25.png"/><Relationship Id="rId7" Type="http://schemas.openxmlformats.org/officeDocument/2006/relationships/image" Target="../media/image29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Relationship Id="rId9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76201</xdr:colOff>
      <xdr:row>1</xdr:row>
      <xdr:rowOff>66675</xdr:rowOff>
    </xdr:from>
    <xdr:to>
      <xdr:col>4</xdr:col>
      <xdr:colOff>1118667</xdr:colOff>
      <xdr:row>13</xdr:row>
      <xdr:rowOff>190500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1" y="66675"/>
          <a:ext cx="5804966" cy="36576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15</xdr:row>
      <xdr:rowOff>180975</xdr:rowOff>
    </xdr:from>
    <xdr:to>
      <xdr:col>4</xdr:col>
      <xdr:colOff>1085205</xdr:colOff>
      <xdr:row>23</xdr:row>
      <xdr:rowOff>56673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4581525"/>
          <a:ext cx="5809605" cy="22378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</xdr:rowOff>
    </xdr:from>
    <xdr:to>
      <xdr:col>4</xdr:col>
      <xdr:colOff>1129299</xdr:colOff>
      <xdr:row>38</xdr:row>
      <xdr:rowOff>85726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534401"/>
          <a:ext cx="5891799" cy="27432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314325</xdr:colOff>
      <xdr:row>0</xdr:row>
      <xdr:rowOff>276225</xdr:rowOff>
    </xdr:from>
    <xdr:to>
      <xdr:col>5</xdr:col>
      <xdr:colOff>3026247</xdr:colOff>
      <xdr:row>9</xdr:row>
      <xdr:rowOff>8783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10775" y="276225"/>
          <a:ext cx="3616797" cy="2323358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276224</xdr:colOff>
      <xdr:row>30</xdr:row>
      <xdr:rowOff>192940</xdr:rowOff>
    </xdr:from>
    <xdr:to>
      <xdr:col>3</xdr:col>
      <xdr:colOff>1447799</xdr:colOff>
      <xdr:row>44</xdr:row>
      <xdr:rowOff>221298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4" y="8317765"/>
          <a:ext cx="6010275" cy="4171194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46</xdr:row>
      <xdr:rowOff>8085</xdr:rowOff>
    </xdr:from>
    <xdr:to>
      <xdr:col>4</xdr:col>
      <xdr:colOff>221926</xdr:colOff>
      <xdr:row>54</xdr:row>
      <xdr:rowOff>200025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" y="12657285"/>
          <a:ext cx="6622726" cy="255414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19</xdr:row>
      <xdr:rowOff>142875</xdr:rowOff>
    </xdr:from>
    <xdr:to>
      <xdr:col>3</xdr:col>
      <xdr:colOff>590550</xdr:colOff>
      <xdr:row>30</xdr:row>
      <xdr:rowOff>90736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525" y="5038725"/>
          <a:ext cx="5029200" cy="3186361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419101</xdr:colOff>
      <xdr:row>12</xdr:row>
      <xdr:rowOff>133349</xdr:rowOff>
    </xdr:from>
    <xdr:to>
      <xdr:col>5</xdr:col>
      <xdr:colOff>4429126</xdr:colOff>
      <xdr:row>14</xdr:row>
      <xdr:rowOff>175474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8476" y="3581399"/>
          <a:ext cx="4914900" cy="613625"/>
        </a:xfrm>
        <a:prstGeom prst="rect">
          <a:avLst/>
        </a:prstGeom>
      </xdr:spPr>
    </xdr:pic>
    <xdr:clientData/>
  </xdr:twoCellAnchor>
  <xdr:twoCellAnchor editAs="oneCell">
    <xdr:from>
      <xdr:col>5</xdr:col>
      <xdr:colOff>3369148</xdr:colOff>
      <xdr:row>0</xdr:row>
      <xdr:rowOff>288628</xdr:rowOff>
    </xdr:from>
    <xdr:to>
      <xdr:col>7</xdr:col>
      <xdr:colOff>435813</xdr:colOff>
      <xdr:row>7</xdr:row>
      <xdr:rowOff>107128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17521" y="288628"/>
          <a:ext cx="3558941" cy="1849302"/>
        </a:xfrm>
        <a:prstGeom prst="rect">
          <a:avLst/>
        </a:prstGeom>
      </xdr:spPr>
    </xdr:pic>
    <xdr:clientData/>
  </xdr:twoCellAnchor>
  <xdr:twoCellAnchor editAs="oneCell">
    <xdr:from>
      <xdr:col>4</xdr:col>
      <xdr:colOff>565211</xdr:colOff>
      <xdr:row>9</xdr:row>
      <xdr:rowOff>99159</xdr:rowOff>
    </xdr:from>
    <xdr:to>
      <xdr:col>5</xdr:col>
      <xdr:colOff>3853350</xdr:colOff>
      <xdr:row>11</xdr:row>
      <xdr:rowOff>152400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94586" y="2689959"/>
          <a:ext cx="4193014" cy="624741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0</xdr:row>
      <xdr:rowOff>166689</xdr:rowOff>
    </xdr:from>
    <xdr:to>
      <xdr:col>11</xdr:col>
      <xdr:colOff>23812</xdr:colOff>
      <xdr:row>17</xdr:row>
      <xdr:rowOff>83980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82813" y="166689"/>
          <a:ext cx="4167187" cy="4765516"/>
        </a:xfrm>
        <a:prstGeom prst="rect">
          <a:avLst/>
        </a:prstGeom>
      </xdr:spPr>
    </xdr:pic>
    <xdr:clientData/>
  </xdr:twoCellAnchor>
  <xdr:twoCellAnchor editAs="oneCell">
    <xdr:from>
      <xdr:col>4</xdr:col>
      <xdr:colOff>390525</xdr:colOff>
      <xdr:row>15</xdr:row>
      <xdr:rowOff>237454</xdr:rowOff>
    </xdr:from>
    <xdr:to>
      <xdr:col>6</xdr:col>
      <xdr:colOff>542925</xdr:colOff>
      <xdr:row>18</xdr:row>
      <xdr:rowOff>78559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9900" y="4542754"/>
          <a:ext cx="5638800" cy="70788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38099</xdr:colOff>
      <xdr:row>0</xdr:row>
      <xdr:rowOff>104775</xdr:rowOff>
    </xdr:from>
    <xdr:to>
      <xdr:col>8</xdr:col>
      <xdr:colOff>449209</xdr:colOff>
      <xdr:row>11</xdr:row>
      <xdr:rowOff>161925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62724" y="104775"/>
          <a:ext cx="5592710" cy="3228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3</xdr:col>
      <xdr:colOff>685136</xdr:colOff>
      <xdr:row>37</xdr:row>
      <xdr:rowOff>37274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048125"/>
          <a:ext cx="5314286" cy="660952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</xdr:row>
      <xdr:rowOff>0</xdr:rowOff>
    </xdr:from>
    <xdr:to>
      <xdr:col>9</xdr:col>
      <xdr:colOff>676275</xdr:colOff>
      <xdr:row>33</xdr:row>
      <xdr:rowOff>254765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5600700"/>
          <a:ext cx="10058400" cy="45505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1</xdr:row>
      <xdr:rowOff>0</xdr:rowOff>
    </xdr:from>
    <xdr:to>
      <xdr:col>5</xdr:col>
      <xdr:colOff>847051</xdr:colOff>
      <xdr:row>14</xdr:row>
      <xdr:rowOff>285239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285750"/>
          <a:ext cx="5390476" cy="4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5</xdr:col>
      <xdr:colOff>818476</xdr:colOff>
      <xdr:row>30</xdr:row>
      <xdr:rowOff>9014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67250"/>
          <a:ext cx="5390476" cy="40857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47625</xdr:colOff>
      <xdr:row>2</xdr:row>
      <xdr:rowOff>133350</xdr:rowOff>
    </xdr:from>
    <xdr:to>
      <xdr:col>3</xdr:col>
      <xdr:colOff>321945</xdr:colOff>
      <xdr:row>2</xdr:row>
      <xdr:rowOff>133351</xdr:rowOff>
    </xdr:to>
    <xdr:cxnSp macro="">
      <xdr:nvCxnSpPr>
        <xdr:cNvPr id="3" name="Straight Arrow Connector 2"/>
        <xdr:cNvCxnSpPr/>
      </xdr:nvCxnSpPr>
      <xdr:spPr>
        <a:xfrm>
          <a:off x="2590800" y="704850"/>
          <a:ext cx="27432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47625</xdr:colOff>
      <xdr:row>2</xdr:row>
      <xdr:rowOff>133350</xdr:rowOff>
    </xdr:from>
    <xdr:to>
      <xdr:col>3</xdr:col>
      <xdr:colOff>321945</xdr:colOff>
      <xdr:row>2</xdr:row>
      <xdr:rowOff>133351</xdr:rowOff>
    </xdr:to>
    <xdr:cxnSp macro="">
      <xdr:nvCxnSpPr>
        <xdr:cNvPr id="7" name="Straight Arrow Connector 6"/>
        <xdr:cNvCxnSpPr/>
      </xdr:nvCxnSpPr>
      <xdr:spPr>
        <a:xfrm>
          <a:off x="2590800" y="704850"/>
          <a:ext cx="27432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47625</xdr:colOff>
      <xdr:row>4</xdr:row>
      <xdr:rowOff>133350</xdr:rowOff>
    </xdr:from>
    <xdr:to>
      <xdr:col>3</xdr:col>
      <xdr:colOff>321945</xdr:colOff>
      <xdr:row>4</xdr:row>
      <xdr:rowOff>133351</xdr:rowOff>
    </xdr:to>
    <xdr:cxnSp macro="">
      <xdr:nvCxnSpPr>
        <xdr:cNvPr id="8" name="Straight Arrow Connector 7"/>
        <xdr:cNvCxnSpPr/>
      </xdr:nvCxnSpPr>
      <xdr:spPr>
        <a:xfrm>
          <a:off x="2590800" y="704850"/>
          <a:ext cx="27432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47625</xdr:colOff>
      <xdr:row>4</xdr:row>
      <xdr:rowOff>133350</xdr:rowOff>
    </xdr:from>
    <xdr:to>
      <xdr:col>3</xdr:col>
      <xdr:colOff>321945</xdr:colOff>
      <xdr:row>4</xdr:row>
      <xdr:rowOff>133351</xdr:rowOff>
    </xdr:to>
    <xdr:cxnSp macro="">
      <xdr:nvCxnSpPr>
        <xdr:cNvPr id="9" name="Straight Arrow Connector 8"/>
        <xdr:cNvCxnSpPr/>
      </xdr:nvCxnSpPr>
      <xdr:spPr>
        <a:xfrm>
          <a:off x="2590800" y="704850"/>
          <a:ext cx="27432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1590675</xdr:colOff>
      <xdr:row>7</xdr:row>
      <xdr:rowOff>180975</xdr:rowOff>
    </xdr:from>
    <xdr:to>
      <xdr:col>3</xdr:col>
      <xdr:colOff>4067176</xdr:colOff>
      <xdr:row>9</xdr:row>
      <xdr:rowOff>4373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3850" y="2257425"/>
          <a:ext cx="2476501" cy="40442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272143</xdr:colOff>
      <xdr:row>13</xdr:row>
      <xdr:rowOff>254007</xdr:rowOff>
    </xdr:from>
    <xdr:to>
      <xdr:col>8</xdr:col>
      <xdr:colOff>1020959</xdr:colOff>
      <xdr:row>16</xdr:row>
      <xdr:rowOff>177709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8643" y="3968757"/>
          <a:ext cx="7479816" cy="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0</xdr:row>
      <xdr:rowOff>95250</xdr:rowOff>
    </xdr:from>
    <xdr:to>
      <xdr:col>7</xdr:col>
      <xdr:colOff>281668</xdr:colOff>
      <xdr:row>13</xdr:row>
      <xdr:rowOff>19462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95250"/>
          <a:ext cx="10058400" cy="3638962"/>
        </a:xfrm>
        <a:prstGeom prst="rect">
          <a:avLst/>
        </a:prstGeom>
      </xdr:spPr>
    </xdr:pic>
    <xdr:clientData/>
  </xdr:twoCellAnchor>
  <xdr:twoCellAnchor editAs="oneCell">
    <xdr:from>
      <xdr:col>0</xdr:col>
      <xdr:colOff>978353</xdr:colOff>
      <xdr:row>14</xdr:row>
      <xdr:rowOff>68035</xdr:rowOff>
    </xdr:from>
    <xdr:to>
      <xdr:col>4</xdr:col>
      <xdr:colOff>195884</xdr:colOff>
      <xdr:row>28</xdr:row>
      <xdr:rowOff>98815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8353" y="4068535"/>
          <a:ext cx="4122452" cy="4167351"/>
        </a:xfrm>
        <a:prstGeom prst="rect">
          <a:avLst/>
        </a:prstGeom>
      </xdr:spPr>
    </xdr:pic>
    <xdr:clientData/>
  </xdr:twoCellAnchor>
  <xdr:twoCellAnchor editAs="oneCell">
    <xdr:from>
      <xdr:col>5</xdr:col>
      <xdr:colOff>252489</xdr:colOff>
      <xdr:row>17</xdr:row>
      <xdr:rowOff>95252</xdr:rowOff>
    </xdr:from>
    <xdr:to>
      <xdr:col>5</xdr:col>
      <xdr:colOff>2728990</xdr:colOff>
      <xdr:row>18</xdr:row>
      <xdr:rowOff>203341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8989" y="4963585"/>
          <a:ext cx="2476501" cy="404423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25</xdr:row>
      <xdr:rowOff>222250</xdr:rowOff>
    </xdr:from>
    <xdr:to>
      <xdr:col>8</xdr:col>
      <xdr:colOff>1307143</xdr:colOff>
      <xdr:row>28</xdr:row>
      <xdr:rowOff>2036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7500" y="7461250"/>
          <a:ext cx="7657143" cy="64761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0</xdr:row>
      <xdr:rowOff>180975</xdr:rowOff>
    </xdr:from>
    <xdr:to>
      <xdr:col>2</xdr:col>
      <xdr:colOff>1780462</xdr:colOff>
      <xdr:row>4</xdr:row>
      <xdr:rowOff>209404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80975"/>
          <a:ext cx="5704762" cy="11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5</xdr:row>
      <xdr:rowOff>66675</xdr:rowOff>
    </xdr:from>
    <xdr:to>
      <xdr:col>2</xdr:col>
      <xdr:colOff>1866182</xdr:colOff>
      <xdr:row>8</xdr:row>
      <xdr:rowOff>18949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1495425"/>
          <a:ext cx="5742857" cy="809524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5</xdr:row>
      <xdr:rowOff>268251</xdr:rowOff>
    </xdr:from>
    <xdr:to>
      <xdr:col>10</xdr:col>
      <xdr:colOff>275303</xdr:colOff>
      <xdr:row>16</xdr:row>
      <xdr:rowOff>189986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96300" y="1697001"/>
          <a:ext cx="5542628" cy="30935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57149</xdr:colOff>
      <xdr:row>0</xdr:row>
      <xdr:rowOff>209550</xdr:rowOff>
    </xdr:from>
    <xdr:to>
      <xdr:col>2</xdr:col>
      <xdr:colOff>673031</xdr:colOff>
      <xdr:row>3</xdr:row>
      <xdr:rowOff>266700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4" y="209550"/>
          <a:ext cx="4692582" cy="914400"/>
        </a:xfrm>
        <a:prstGeom prst="rect">
          <a:avLst/>
        </a:prstGeom>
      </xdr:spPr>
    </xdr:pic>
    <xdr:clientData/>
  </xdr:twoCellAnchor>
  <xdr:twoCellAnchor editAs="oneCell">
    <xdr:from>
      <xdr:col>2</xdr:col>
      <xdr:colOff>1295401</xdr:colOff>
      <xdr:row>0</xdr:row>
      <xdr:rowOff>87354</xdr:rowOff>
    </xdr:from>
    <xdr:to>
      <xdr:col>3</xdr:col>
      <xdr:colOff>495301</xdr:colOff>
      <xdr:row>7</xdr:row>
      <xdr:rowOff>270527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8326" y="87354"/>
          <a:ext cx="1714500" cy="2183423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228603</xdr:colOff>
      <xdr:row>4</xdr:row>
      <xdr:rowOff>161925</xdr:rowOff>
    </xdr:from>
    <xdr:to>
      <xdr:col>2</xdr:col>
      <xdr:colOff>724950</xdr:colOff>
      <xdr:row>7</xdr:row>
      <xdr:rowOff>219075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3" y="1304925"/>
          <a:ext cx="4849272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200024</xdr:colOff>
      <xdr:row>7</xdr:row>
      <xdr:rowOff>171228</xdr:rowOff>
    </xdr:from>
    <xdr:to>
      <xdr:col>10</xdr:col>
      <xdr:colOff>962420</xdr:colOff>
      <xdr:row>17</xdr:row>
      <xdr:rowOff>266699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58199" y="2171478"/>
          <a:ext cx="5324871" cy="297202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42863</xdr:colOff>
      <xdr:row>1</xdr:row>
      <xdr:rowOff>53491</xdr:rowOff>
    </xdr:from>
    <xdr:to>
      <xdr:col>9</xdr:col>
      <xdr:colOff>589810</xdr:colOff>
      <xdr:row>7</xdr:row>
      <xdr:rowOff>199599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2713" y="348766"/>
          <a:ext cx="3223472" cy="1870133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952500</xdr:colOff>
      <xdr:row>8</xdr:row>
      <xdr:rowOff>117217</xdr:rowOff>
    </xdr:from>
    <xdr:to>
      <xdr:col>9</xdr:col>
      <xdr:colOff>232724</xdr:colOff>
      <xdr:row>12</xdr:row>
      <xdr:rowOff>166433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0800" y="2441317"/>
          <a:ext cx="2928299" cy="1201741"/>
        </a:xfrm>
        <a:prstGeom prst="rect">
          <a:avLst/>
        </a:prstGeom>
      </xdr:spPr>
    </xdr:pic>
    <xdr:clientData/>
  </xdr:twoCellAnchor>
  <xdr:twoCellAnchor editAs="oneCell">
    <xdr:from>
      <xdr:col>5</xdr:col>
      <xdr:colOff>782637</xdr:colOff>
      <xdr:row>15</xdr:row>
      <xdr:rowOff>4768</xdr:rowOff>
    </xdr:from>
    <xdr:to>
      <xdr:col>9</xdr:col>
      <xdr:colOff>442842</xdr:colOff>
      <xdr:row>18</xdr:row>
      <xdr:rowOff>257181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40937" y="4348168"/>
          <a:ext cx="3308280" cy="1109663"/>
        </a:xfrm>
        <a:prstGeom prst="rect">
          <a:avLst/>
        </a:prstGeom>
      </xdr:spPr>
    </xdr:pic>
    <xdr:clientData/>
  </xdr:twoCellAnchor>
  <xdr:twoCellAnchor editAs="oneCell">
    <xdr:from>
      <xdr:col>5</xdr:col>
      <xdr:colOff>876300</xdr:colOff>
      <xdr:row>13</xdr:row>
      <xdr:rowOff>50802</xdr:rowOff>
    </xdr:from>
    <xdr:to>
      <xdr:col>7</xdr:col>
      <xdr:colOff>477859</xdr:colOff>
      <xdr:row>14</xdr:row>
      <xdr:rowOff>155577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34600" y="3822702"/>
          <a:ext cx="2373334" cy="390525"/>
        </a:xfrm>
        <a:prstGeom prst="rect">
          <a:avLst/>
        </a:prstGeom>
      </xdr:spPr>
    </xdr:pic>
    <xdr:clientData/>
  </xdr:twoCellAnchor>
  <xdr:twoCellAnchor editAs="oneCell">
    <xdr:from>
      <xdr:col>1</xdr:col>
      <xdr:colOff>581025</xdr:colOff>
      <xdr:row>12</xdr:row>
      <xdr:rowOff>190500</xdr:rowOff>
    </xdr:from>
    <xdr:to>
      <xdr:col>3</xdr:col>
      <xdr:colOff>184936</xdr:colOff>
      <xdr:row>42</xdr:row>
      <xdr:rowOff>263192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" y="3667125"/>
          <a:ext cx="6576211" cy="865471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472528</xdr:colOff>
      <xdr:row>2</xdr:row>
      <xdr:rowOff>9526</xdr:rowOff>
    </xdr:from>
    <xdr:to>
      <xdr:col>5</xdr:col>
      <xdr:colOff>495301</xdr:colOff>
      <xdr:row>4</xdr:row>
      <xdr:rowOff>171308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8878" y="581026"/>
          <a:ext cx="1022898" cy="733282"/>
        </a:xfrm>
        <a:prstGeom prst="rect">
          <a:avLst/>
        </a:prstGeom>
      </xdr:spPr>
    </xdr:pic>
    <xdr:clientData/>
  </xdr:twoCellAnchor>
  <xdr:twoCellAnchor editAs="oneCell">
    <xdr:from>
      <xdr:col>8</xdr:col>
      <xdr:colOff>371475</xdr:colOff>
      <xdr:row>0</xdr:row>
      <xdr:rowOff>169089</xdr:rowOff>
    </xdr:from>
    <xdr:to>
      <xdr:col>13</xdr:col>
      <xdr:colOff>314424</xdr:colOff>
      <xdr:row>12</xdr:row>
      <xdr:rowOff>19050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77400" y="169089"/>
          <a:ext cx="4943574" cy="3298011"/>
        </a:xfrm>
        <a:prstGeom prst="rect">
          <a:avLst/>
        </a:prstGeom>
      </xdr:spPr>
    </xdr:pic>
    <xdr:clientData/>
  </xdr:twoCellAnchor>
  <xdr:twoCellAnchor editAs="oneCell">
    <xdr:from>
      <xdr:col>4</xdr:col>
      <xdr:colOff>228600</xdr:colOff>
      <xdr:row>5</xdr:row>
      <xdr:rowOff>0</xdr:rowOff>
    </xdr:from>
    <xdr:to>
      <xdr:col>8</xdr:col>
      <xdr:colOff>931428</xdr:colOff>
      <xdr:row>9</xdr:row>
      <xdr:rowOff>266700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4950" y="1428750"/>
          <a:ext cx="4703328" cy="140970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11</xdr:row>
      <xdr:rowOff>76200</xdr:rowOff>
    </xdr:from>
    <xdr:to>
      <xdr:col>7</xdr:col>
      <xdr:colOff>0</xdr:colOff>
      <xdr:row>14</xdr:row>
      <xdr:rowOff>227769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0" y="2933700"/>
          <a:ext cx="2828925" cy="1008819"/>
        </a:xfrm>
        <a:prstGeom prst="rect">
          <a:avLst/>
        </a:prstGeom>
      </xdr:spPr>
    </xdr:pic>
    <xdr:clientData/>
  </xdr:twoCellAnchor>
  <xdr:twoCellAnchor editAs="oneCell">
    <xdr:from>
      <xdr:col>4</xdr:col>
      <xdr:colOff>590549</xdr:colOff>
      <xdr:row>0</xdr:row>
      <xdr:rowOff>180975</xdr:rowOff>
    </xdr:from>
    <xdr:to>
      <xdr:col>7</xdr:col>
      <xdr:colOff>19050</xdr:colOff>
      <xdr:row>1</xdr:row>
      <xdr:rowOff>202245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76899" y="180975"/>
          <a:ext cx="2428876" cy="316545"/>
        </a:xfrm>
        <a:prstGeom prst="rect">
          <a:avLst/>
        </a:prstGeom>
      </xdr:spPr>
    </xdr:pic>
    <xdr:clientData/>
  </xdr:twoCellAnchor>
  <xdr:twoCellAnchor editAs="oneCell">
    <xdr:from>
      <xdr:col>5</xdr:col>
      <xdr:colOff>733424</xdr:colOff>
      <xdr:row>14</xdr:row>
      <xdr:rowOff>250896</xdr:rowOff>
    </xdr:from>
    <xdr:to>
      <xdr:col>8</xdr:col>
      <xdr:colOff>771894</xdr:colOff>
      <xdr:row>18</xdr:row>
      <xdr:rowOff>38100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9899" y="3965646"/>
          <a:ext cx="3038845" cy="949254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12</xdr:row>
      <xdr:rowOff>219075</xdr:rowOff>
    </xdr:from>
    <xdr:to>
      <xdr:col>13</xdr:col>
      <xdr:colOff>264274</xdr:colOff>
      <xdr:row>16</xdr:row>
      <xdr:rowOff>219075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10825" y="3648075"/>
          <a:ext cx="4159999" cy="1162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104775</xdr:rowOff>
    </xdr:from>
    <xdr:to>
      <xdr:col>5</xdr:col>
      <xdr:colOff>484946</xdr:colOff>
      <xdr:row>43</xdr:row>
      <xdr:rowOff>103811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714875"/>
          <a:ext cx="6628571" cy="77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409575</xdr:colOff>
      <xdr:row>15</xdr:row>
      <xdr:rowOff>123826</xdr:rowOff>
    </xdr:from>
    <xdr:to>
      <xdr:col>5</xdr:col>
      <xdr:colOff>295275</xdr:colOff>
      <xdr:row>16</xdr:row>
      <xdr:rowOff>95705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5925" y="4124326"/>
          <a:ext cx="885825" cy="267154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1" name="Table1" displayName="Table1" ref="B2:C59" totalsRowShown="0" headerRowDxfId="66">
  <autoFilter ref="B2:C59"/>
  <tableColumns count="2">
    <tableColumn id="1" name="مصالح" dataDxfId="65"/>
    <tableColumn id="2" name="جرم مخصوص (کیلوگرم بر مترمکعب)" dataDxfId="64"/>
  </tableColumns>
  <tableStyleInfo name="TableStyleMedium4" showFirstColumn="0" showLastColumn="0" showRowStripes="1" showColumnStripes="0"/>
</table>
</file>

<file path=xl/tables/table10.xml><?xml version="1.0" encoding="utf-8"?>
<table xmlns="http://schemas.openxmlformats.org/spreadsheetml/2006/main" id="10" name="Table10" displayName="Table10" ref="M6:M8" totalsRowShown="0" headerRowDxfId="37" dataDxfId="36">
  <autoFilter ref="M6:M8"/>
  <tableColumns count="1">
    <tableColumn id="1" name="نوع پوشش (تراکم)" dataDxfId="35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id="11" name="Table11" displayName="Table11" ref="P2:R8" totalsRowShown="0" headerRowDxfId="31">
  <autoFilter ref="P2:R8"/>
  <tableColumns count="3">
    <tableColumn id="1" name="نوع‌ سیستم‌ سازه‌ ای" dataDxfId="34"/>
    <tableColumn id="2" name="ضریب H" dataDxfId="33"/>
    <tableColumn id="3" name="توان H" dataDxfId="32"/>
  </tableColumns>
  <tableStyleInfo name="TableStyleLight9" showFirstColumn="0" showLastColumn="0" showRowStripes="1" showColumnStripes="0"/>
</table>
</file>

<file path=xl/tables/table12.xml><?xml version="1.0" encoding="utf-8"?>
<table xmlns="http://schemas.openxmlformats.org/spreadsheetml/2006/main" id="12" name="Table12" displayName="Table12" ref="P15:V20" totalsRowShown="0" headerRowDxfId="22" dataDxfId="23">
  <autoFilter ref="P15:V20"/>
  <tableColumns count="7">
    <tableColumn id="1" name="نوع زمین" dataDxfId="30"/>
    <tableColumn id="2" name="T0" dataDxfId="29"/>
    <tableColumn id="3" name="TS" dataDxfId="28"/>
    <tableColumn id="4" name="S0" dataDxfId="27"/>
    <tableColumn id="5" name="S" dataDxfId="26"/>
    <tableColumn id="6" name="So2" dataDxfId="25"/>
    <tableColumn id="7" name="S2" dataDxfId="24"/>
  </tableColumns>
  <tableStyleInfo name="TableStyleMedium2" showFirstColumn="0" showLastColumn="0" showRowStripes="1" showColumnStripes="0"/>
</table>
</file>

<file path=xl/tables/table13.xml><?xml version="1.0" encoding="utf-8"?>
<table xmlns="http://schemas.openxmlformats.org/spreadsheetml/2006/main" id="13" name="Table13" displayName="Table13" ref="M21:N31" totalsRowShown="0" headerRowDxfId="16" headerRowBorderDxfId="20" tableBorderDxfId="21" totalsRowBorderDxfId="19">
  <autoFilter ref="M21:N31"/>
  <sortState ref="M22:N31">
    <sortCondition ref="N21:N31"/>
  </sortState>
  <tableColumns count="2">
    <tableColumn id="1" name="شهر" dataDxfId="18"/>
    <tableColumn id="2" name="منطقه لرزه خیزی" dataDxfId="17"/>
  </tableColumns>
  <tableStyleInfo name="TableStyleMedium2" showFirstColumn="0" showLastColumn="0" showRowStripes="1" showColumnStripes="0"/>
</table>
</file>

<file path=xl/tables/table14.xml><?xml version="1.0" encoding="utf-8"?>
<table xmlns="http://schemas.openxmlformats.org/spreadsheetml/2006/main" id="14" name="Table14" displayName="Table14" ref="X2:Y19" totalsRowShown="0" headerRowDxfId="13">
  <autoFilter ref="X2:Y19"/>
  <tableColumns count="2">
    <tableColumn id="1" name="نوع سیستم سازه ای" dataDxfId="15"/>
    <tableColumn id="2" name="Ru" dataDxfId="14"/>
  </tableColumns>
  <tableStyleInfo name="TableStyleMedium2" showFirstColumn="0" showLastColumn="0" showRowStripes="1" showColumnStripes="0"/>
</table>
</file>

<file path=xl/tables/table15.xml><?xml version="1.0" encoding="utf-8"?>
<table xmlns="http://schemas.openxmlformats.org/spreadsheetml/2006/main" id="15" name="Table15" displayName="Table15" ref="P24:R28" totalsRowShown="0" headerRowDxfId="9">
  <autoFilter ref="P24:R28"/>
  <tableColumns count="3">
    <tableColumn id="1" name="منطقه لرزه خیزی" dataDxfId="12"/>
    <tableColumn id="2" name="A (g)" dataDxfId="11"/>
    <tableColumn id="3" name="توصیف" dataDxfId="10"/>
  </tableColumns>
  <tableStyleInfo name="TableStyleMedium2" showFirstColumn="0" showLastColumn="0" showRowStripes="1" showColumnStripes="0"/>
</table>
</file>

<file path=xl/tables/table16.xml><?xml version="1.0" encoding="utf-8"?>
<table xmlns="http://schemas.openxmlformats.org/spreadsheetml/2006/main" id="16" name="Table16" displayName="Table16" ref="P30:Q36" totalsRowShown="0">
  <autoFilter ref="P30:Q36"/>
  <tableColumns count="2">
    <tableColumn id="1" name="نوع کف" dataDxfId="8"/>
    <tableColumn id="2" name="درصد مشارکت" dataDxfId="7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3" name="Table2" displayName="Table2" ref="F2:G23" totalsRowShown="0" headerRowDxfId="63">
  <autoFilter ref="F2:G23"/>
  <tableColumns count="2">
    <tableColumn id="1" name="نوع کاربری" dataDxfId="62"/>
    <tableColumn id="2" name="بار گسترده (کیلونیوتن بر مترمربع)" dataDxfId="61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id="4" name="Table3" displayName="Table3" ref="J2:K13" totalsRowShown="0" headerRowDxfId="60">
  <autoFilter ref="J2:K13"/>
  <tableColumns count="2">
    <tableColumn id="1" name="جزء سازه ای" dataDxfId="59"/>
    <tableColumn id="2" name="KLL" dataDxfId="58"/>
  </tableColumns>
  <tableStyleInfo name="TableStyleLight21" showFirstColumn="0" showLastColumn="0" showRowStripes="1" showColumnStripes="0"/>
</table>
</file>

<file path=xl/tables/table4.xml><?xml version="1.0" encoding="utf-8"?>
<table xmlns="http://schemas.openxmlformats.org/spreadsheetml/2006/main" id="2" name="Table4" displayName="Table4" ref="J15:N19" totalsRowShown="0" headerRowDxfId="57">
  <autoFilter ref="J15:N19"/>
  <tableColumns count="5">
    <tableColumn id="1" name="گروه خطرپذیری" dataDxfId="56"/>
    <tableColumn id="2" name="Is" dataDxfId="55"/>
    <tableColumn id="3" name="Ie" dataDxfId="54"/>
    <tableColumn id="4" name="Iw"/>
    <tableColumn id="5" name="Ii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id="5" name="Table5" displayName="Table5" ref="J21:K31" totalsRowShown="0" headerRowDxfId="53">
  <autoFilter ref="J21:K31"/>
  <sortState ref="J22:K31">
    <sortCondition ref="K21:K31"/>
  </sortState>
  <tableColumns count="2">
    <tableColumn id="1" name="شهر" dataDxfId="52"/>
    <tableColumn id="2" name="منطقه برفی" dataDxfId="51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id="6" name="Table6" displayName="Table6" ref="F25:G31" totalsRowShown="0" headerRowDxfId="50" dataDxfId="49">
  <autoFilter ref="F25:G31"/>
  <tableColumns count="2">
    <tableColumn id="1" name="منطقه برفی" dataDxfId="48"/>
    <tableColumn id="2" name="بار برف روی زمین (کیلونیوتن بر مترمربع)" dataDxfId="47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id="7" name="Table7" displayName="Table7" ref="F33:G37" totalsRowShown="0" headerRowDxfId="46">
  <autoFilter ref="F33:G37"/>
  <tableColumns count="2">
    <tableColumn id="1" name="نوع سازه از نظر دما" dataDxfId="45"/>
    <tableColumn id="2" name="Ct" dataDxfId="44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id="8" name="Table8" displayName="Table8" ref="F39:G48" totalsRowShown="0" headerRowDxfId="43">
  <autoFilter ref="F39:G48"/>
  <tableColumns count="2">
    <tableColumn id="1" name="Column 1" dataDxfId="42"/>
    <tableColumn id="2" name="Ce" dataDxfId="41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id="9" name="Table9" displayName="Table9" ref="M2:M4" totalsRowShown="0" headerRowDxfId="40" dataDxfId="39">
  <autoFilter ref="M2:M4"/>
  <tableColumns count="1">
    <tableColumn id="1" name="سطح بام" dataDxfId="38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table" Target="../tables/table7.xml"/><Relationship Id="rId13" Type="http://schemas.openxmlformats.org/officeDocument/2006/relationships/table" Target="../tables/table12.xml"/><Relationship Id="rId3" Type="http://schemas.openxmlformats.org/officeDocument/2006/relationships/table" Target="../tables/table2.xml"/><Relationship Id="rId7" Type="http://schemas.openxmlformats.org/officeDocument/2006/relationships/table" Target="../tables/table6.xml"/><Relationship Id="rId12" Type="http://schemas.openxmlformats.org/officeDocument/2006/relationships/table" Target="../tables/table11.xml"/><Relationship Id="rId17" Type="http://schemas.openxmlformats.org/officeDocument/2006/relationships/table" Target="../tables/table16.xml"/><Relationship Id="rId2" Type="http://schemas.openxmlformats.org/officeDocument/2006/relationships/table" Target="../tables/table1.xml"/><Relationship Id="rId16" Type="http://schemas.openxmlformats.org/officeDocument/2006/relationships/table" Target="../tables/table15.xml"/><Relationship Id="rId1" Type="http://schemas.openxmlformats.org/officeDocument/2006/relationships/printerSettings" Target="../printerSettings/printerSettings9.bin"/><Relationship Id="rId6" Type="http://schemas.openxmlformats.org/officeDocument/2006/relationships/table" Target="../tables/table5.xml"/><Relationship Id="rId11" Type="http://schemas.openxmlformats.org/officeDocument/2006/relationships/table" Target="../tables/table10.xml"/><Relationship Id="rId5" Type="http://schemas.openxmlformats.org/officeDocument/2006/relationships/table" Target="../tables/table4.xml"/><Relationship Id="rId15" Type="http://schemas.openxmlformats.org/officeDocument/2006/relationships/table" Target="../tables/table14.xml"/><Relationship Id="rId10" Type="http://schemas.openxmlformats.org/officeDocument/2006/relationships/table" Target="../tables/table9.xml"/><Relationship Id="rId4" Type="http://schemas.openxmlformats.org/officeDocument/2006/relationships/table" Target="../tables/table3.xml"/><Relationship Id="rId9" Type="http://schemas.openxmlformats.org/officeDocument/2006/relationships/table" Target="../tables/table8.xml"/><Relationship Id="rId14" Type="http://schemas.openxmlformats.org/officeDocument/2006/relationships/table" Target="../tables/table13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39997558519241921"/>
  </sheetPr>
  <dimension ref="F1:I42"/>
  <sheetViews>
    <sheetView showGridLines="0" topLeftCell="B23" workbookViewId="0">
      <selection activeCell="I32" sqref="I32"/>
    </sheetView>
  </sheetViews>
  <sheetFormatPr defaultColWidth="18.140625" defaultRowHeight="22.5" x14ac:dyDescent="0.25"/>
  <cols>
    <col min="1" max="5" width="17.85546875" style="1" customWidth="1"/>
    <col min="6" max="6" width="60.85546875" style="1" bestFit="1" customWidth="1"/>
    <col min="7" max="7" width="25.42578125" style="1" customWidth="1"/>
    <col min="8" max="8" width="18.42578125" style="1" customWidth="1"/>
    <col min="9" max="9" width="25.42578125" style="1" customWidth="1"/>
    <col min="10" max="16384" width="18.140625" style="1"/>
  </cols>
  <sheetData>
    <row r="1" spans="6:9" ht="23.25" thickBot="1" x14ac:dyDescent="0.3"/>
    <row r="2" spans="6:9" ht="23.25" thickTop="1" x14ac:dyDescent="0.25">
      <c r="F2" s="17"/>
      <c r="G2" s="18" t="s">
        <v>68</v>
      </c>
      <c r="H2" s="19" t="s">
        <v>69</v>
      </c>
      <c r="I2" s="20" t="s">
        <v>71</v>
      </c>
    </row>
    <row r="3" spans="6:9" ht="23.25" thickBot="1" x14ac:dyDescent="0.3">
      <c r="F3" s="21"/>
      <c r="G3" s="22" t="s">
        <v>67</v>
      </c>
      <c r="H3" s="23" t="s">
        <v>70</v>
      </c>
      <c r="I3" s="24" t="s">
        <v>72</v>
      </c>
    </row>
    <row r="4" spans="6:9" ht="23.25" thickBot="1" x14ac:dyDescent="0.3">
      <c r="F4" s="11" t="s">
        <v>55</v>
      </c>
      <c r="G4" s="12">
        <f>VLOOKUP(F4,Table1[],2,FALSE)</f>
        <v>2250</v>
      </c>
      <c r="H4" s="13">
        <v>25</v>
      </c>
      <c r="I4" s="25">
        <f>G4*H4/1000</f>
        <v>56.25</v>
      </c>
    </row>
    <row r="5" spans="6:9" ht="23.25" thickBot="1" x14ac:dyDescent="0.3">
      <c r="F5" s="11" t="s">
        <v>14</v>
      </c>
      <c r="G5" s="12">
        <f>VLOOKUP(F5,Table1[],2,FALSE)</f>
        <v>2100</v>
      </c>
      <c r="H5" s="13">
        <v>20</v>
      </c>
      <c r="I5" s="25">
        <f t="shared" ref="I5:I10" si="0">G5*H5/1000</f>
        <v>42</v>
      </c>
    </row>
    <row r="6" spans="6:9" ht="23.25" thickBot="1" x14ac:dyDescent="0.3">
      <c r="F6" s="11" t="s">
        <v>28</v>
      </c>
      <c r="G6" s="12">
        <f>VLOOKUP(F6,Table1[],2,FALSE)</f>
        <v>1300</v>
      </c>
      <c r="H6" s="13">
        <v>100</v>
      </c>
      <c r="I6" s="25">
        <f t="shared" si="0"/>
        <v>130</v>
      </c>
    </row>
    <row r="7" spans="6:9" ht="23.25" thickBot="1" x14ac:dyDescent="0.3">
      <c r="F7" s="11" t="s">
        <v>47</v>
      </c>
      <c r="G7" s="12">
        <f>VLOOKUP(F7,Table1[],2,FALSE)</f>
        <v>1750</v>
      </c>
      <c r="H7" s="13">
        <v>110</v>
      </c>
      <c r="I7" s="25">
        <f t="shared" si="0"/>
        <v>192.5</v>
      </c>
    </row>
    <row r="8" spans="6:9" ht="23.25" thickBot="1" x14ac:dyDescent="0.3">
      <c r="F8" s="11" t="s">
        <v>66</v>
      </c>
      <c r="G8" s="13">
        <v>16</v>
      </c>
      <c r="H8" s="13">
        <v>1000</v>
      </c>
      <c r="I8" s="25">
        <f t="shared" si="0"/>
        <v>16</v>
      </c>
    </row>
    <row r="9" spans="6:9" ht="23.25" thickBot="1" x14ac:dyDescent="0.3">
      <c r="F9" s="11" t="s">
        <v>15</v>
      </c>
      <c r="G9" s="12">
        <f>VLOOKUP(F9,Table1[],2,FALSE)</f>
        <v>1300</v>
      </c>
      <c r="H9" s="13">
        <v>20</v>
      </c>
      <c r="I9" s="25">
        <f t="shared" si="0"/>
        <v>26</v>
      </c>
    </row>
    <row r="10" spans="6:9" ht="23.25" thickBot="1" x14ac:dyDescent="0.3">
      <c r="F10" s="11" t="s">
        <v>18</v>
      </c>
      <c r="G10" s="12">
        <f>VLOOKUP(F10,Table1[],2,FALSE)</f>
        <v>1600</v>
      </c>
      <c r="H10" s="13">
        <v>30</v>
      </c>
      <c r="I10" s="25">
        <f t="shared" si="0"/>
        <v>48</v>
      </c>
    </row>
    <row r="11" spans="6:9" ht="23.25" thickBot="1" x14ac:dyDescent="0.3">
      <c r="F11" s="14" t="s">
        <v>73</v>
      </c>
      <c r="G11" s="15"/>
      <c r="H11" s="16"/>
      <c r="I11" s="26">
        <f>SUM(I4:I10)</f>
        <v>510.75</v>
      </c>
    </row>
    <row r="12" spans="6:9" ht="23.25" thickTop="1" x14ac:dyDescent="0.25">
      <c r="G12" s="9"/>
      <c r="H12" s="8"/>
    </row>
    <row r="13" spans="6:9" x14ac:dyDescent="0.25">
      <c r="G13" s="10"/>
      <c r="H13" s="8"/>
    </row>
    <row r="16" spans="6:9" ht="23.25" thickBot="1" x14ac:dyDescent="0.3"/>
    <row r="17" spans="6:9" ht="23.25" thickTop="1" x14ac:dyDescent="0.25">
      <c r="F17" s="17"/>
      <c r="G17" s="18" t="s">
        <v>68</v>
      </c>
      <c r="H17" s="19" t="s">
        <v>69</v>
      </c>
      <c r="I17" s="20" t="s">
        <v>71</v>
      </c>
    </row>
    <row r="18" spans="6:9" ht="23.25" thickBot="1" x14ac:dyDescent="0.3">
      <c r="F18" s="21"/>
      <c r="G18" s="22" t="s">
        <v>67</v>
      </c>
      <c r="H18" s="23" t="s">
        <v>70</v>
      </c>
      <c r="I18" s="24" t="s">
        <v>72</v>
      </c>
    </row>
    <row r="19" spans="6:9" ht="23.25" thickBot="1" x14ac:dyDescent="0.3">
      <c r="F19" s="11" t="s">
        <v>55</v>
      </c>
      <c r="G19" s="12">
        <f>VLOOKUP(F19,Table1[],2,FALSE)</f>
        <v>2250</v>
      </c>
      <c r="H19" s="13">
        <v>25</v>
      </c>
      <c r="I19" s="25">
        <f>G19*H19/1000</f>
        <v>56.25</v>
      </c>
    </row>
    <row r="20" spans="6:9" ht="23.25" thickBot="1" x14ac:dyDescent="0.3">
      <c r="F20" s="11" t="s">
        <v>14</v>
      </c>
      <c r="G20" s="12">
        <f>VLOOKUP(F20,Table1[],2,FALSE)</f>
        <v>2100</v>
      </c>
      <c r="H20" s="13">
        <v>20</v>
      </c>
      <c r="I20" s="25">
        <f t="shared" ref="I20:I26" si="1">G20*H20/1000</f>
        <v>42</v>
      </c>
    </row>
    <row r="21" spans="6:9" ht="23.25" thickBot="1" x14ac:dyDescent="0.3">
      <c r="F21" s="11" t="s">
        <v>28</v>
      </c>
      <c r="G21" s="12">
        <f>VLOOKUP(F21,Table1[],2,FALSE)</f>
        <v>1300</v>
      </c>
      <c r="H21" s="13">
        <v>50</v>
      </c>
      <c r="I21" s="25">
        <f t="shared" si="1"/>
        <v>65</v>
      </c>
    </row>
    <row r="22" spans="6:9" ht="23.25" thickBot="1" x14ac:dyDescent="0.3">
      <c r="F22" s="11" t="s">
        <v>21</v>
      </c>
      <c r="G22" s="12">
        <f>VLOOKUP(F22,Table1[],2,FALSE)</f>
        <v>2400</v>
      </c>
      <c r="H22" s="13">
        <v>50</v>
      </c>
      <c r="I22" s="25">
        <f t="shared" si="1"/>
        <v>120</v>
      </c>
    </row>
    <row r="23" spans="6:9" ht="23.25" thickBot="1" x14ac:dyDescent="0.3">
      <c r="F23" s="11" t="s">
        <v>22</v>
      </c>
      <c r="G23" s="12">
        <f>VLOOKUP(F23,Table1[],2,FALSE)</f>
        <v>2500</v>
      </c>
      <c r="H23" s="13">
        <v>80</v>
      </c>
      <c r="I23" s="25">
        <f t="shared" si="1"/>
        <v>200</v>
      </c>
    </row>
    <row r="24" spans="6:9" ht="23.25" thickBot="1" x14ac:dyDescent="0.3">
      <c r="F24" s="11" t="s">
        <v>64</v>
      </c>
      <c r="G24" s="12">
        <f>VLOOKUP(F24,Table1[],2,FALSE)</f>
        <v>8</v>
      </c>
      <c r="H24" s="13">
        <v>8</v>
      </c>
      <c r="I24" s="25">
        <f>G24*H24</f>
        <v>64</v>
      </c>
    </row>
    <row r="25" spans="6:9" ht="23.25" thickBot="1" x14ac:dyDescent="0.3">
      <c r="F25" s="11" t="s">
        <v>18</v>
      </c>
      <c r="G25" s="12">
        <f>VLOOKUP(F25,Table1[],2,FALSE)</f>
        <v>1600</v>
      </c>
      <c r="H25" s="13">
        <v>30</v>
      </c>
      <c r="I25" s="25">
        <f t="shared" si="1"/>
        <v>48</v>
      </c>
    </row>
    <row r="26" spans="6:9" ht="23.25" thickBot="1" x14ac:dyDescent="0.3">
      <c r="F26" s="11" t="s">
        <v>15</v>
      </c>
      <c r="G26" s="12">
        <f>VLOOKUP(F26,Table1[],2,FALSE)</f>
        <v>1300</v>
      </c>
      <c r="H26" s="13">
        <v>20</v>
      </c>
      <c r="I26" s="25">
        <f t="shared" si="1"/>
        <v>26</v>
      </c>
    </row>
    <row r="27" spans="6:9" ht="23.25" thickBot="1" x14ac:dyDescent="0.3">
      <c r="F27" s="14" t="s">
        <v>73</v>
      </c>
      <c r="G27" s="15"/>
      <c r="H27" s="16"/>
      <c r="I27" s="26">
        <f>SUM(I19:I26)</f>
        <v>621.25</v>
      </c>
    </row>
    <row r="28" spans="6:9" ht="23.25" thickTop="1" x14ac:dyDescent="0.25"/>
    <row r="29" spans="6:9" ht="23.25" thickBot="1" x14ac:dyDescent="0.3"/>
    <row r="30" spans="6:9" ht="23.25" thickTop="1" x14ac:dyDescent="0.25">
      <c r="F30" s="17"/>
      <c r="G30" s="18" t="s">
        <v>68</v>
      </c>
      <c r="H30" s="19" t="s">
        <v>69</v>
      </c>
      <c r="I30" s="20" t="s">
        <v>71</v>
      </c>
    </row>
    <row r="31" spans="6:9" ht="23.25" thickBot="1" x14ac:dyDescent="0.3">
      <c r="F31" s="21"/>
      <c r="G31" s="22" t="s">
        <v>67</v>
      </c>
      <c r="H31" s="23" t="s">
        <v>70</v>
      </c>
      <c r="I31" s="24" t="s">
        <v>72</v>
      </c>
    </row>
    <row r="32" spans="6:9" ht="23.25" thickBot="1" x14ac:dyDescent="0.3">
      <c r="F32" s="11" t="s">
        <v>55</v>
      </c>
      <c r="G32" s="12">
        <f>VLOOKUP(F32,Table1[],2,FALSE)</f>
        <v>2250</v>
      </c>
      <c r="H32" s="13">
        <v>25</v>
      </c>
      <c r="I32" s="25">
        <f>G32*H32/1000</f>
        <v>56.25</v>
      </c>
    </row>
    <row r="33" spans="6:9" ht="23.25" thickBot="1" x14ac:dyDescent="0.3">
      <c r="F33" s="11" t="s">
        <v>14</v>
      </c>
      <c r="G33" s="12">
        <f>VLOOKUP(F33,Table1[],2,FALSE)</f>
        <v>2100</v>
      </c>
      <c r="H33" s="13">
        <v>20</v>
      </c>
      <c r="I33" s="25">
        <f t="shared" ref="I33:I40" si="2">G33*H33/1000</f>
        <v>42</v>
      </c>
    </row>
    <row r="34" spans="6:9" ht="23.25" thickBot="1" x14ac:dyDescent="0.3">
      <c r="F34" s="11" t="s">
        <v>61</v>
      </c>
      <c r="G34" s="12">
        <f>VLOOKUP(F34,Table1[],2,FALSE)</f>
        <v>15</v>
      </c>
      <c r="H34" s="13">
        <v>1000</v>
      </c>
      <c r="I34" s="25">
        <f t="shared" si="2"/>
        <v>15</v>
      </c>
    </row>
    <row r="35" spans="6:9" ht="23.25" thickBot="1" x14ac:dyDescent="0.3">
      <c r="F35" s="11" t="s">
        <v>28</v>
      </c>
      <c r="G35" s="12">
        <f>VLOOKUP(F35,Table1[],2,FALSE)</f>
        <v>1300</v>
      </c>
      <c r="H35" s="13">
        <v>50</v>
      </c>
      <c r="I35" s="25">
        <f t="shared" si="2"/>
        <v>65</v>
      </c>
    </row>
    <row r="36" spans="6:9" ht="23.25" thickBot="1" x14ac:dyDescent="0.3">
      <c r="F36" s="11" t="s">
        <v>21</v>
      </c>
      <c r="G36" s="12">
        <f>VLOOKUP(F36,Table1[],2,FALSE)</f>
        <v>2400</v>
      </c>
      <c r="H36" s="13">
        <v>50</v>
      </c>
      <c r="I36" s="25">
        <f t="shared" si="2"/>
        <v>120</v>
      </c>
    </row>
    <row r="37" spans="6:9" ht="23.25" thickBot="1" x14ac:dyDescent="0.3">
      <c r="F37" s="11" t="s">
        <v>22</v>
      </c>
      <c r="G37" s="12">
        <f>VLOOKUP(F37,Table1[],2,FALSE)</f>
        <v>2500</v>
      </c>
      <c r="H37" s="13">
        <v>80</v>
      </c>
      <c r="I37" s="25">
        <f t="shared" si="2"/>
        <v>200</v>
      </c>
    </row>
    <row r="38" spans="6:9" ht="23.25" thickBot="1" x14ac:dyDescent="0.3">
      <c r="F38" s="11" t="s">
        <v>64</v>
      </c>
      <c r="G38" s="12">
        <f>VLOOKUP(F38,Table1[],2,FALSE)</f>
        <v>8</v>
      </c>
      <c r="H38" s="13">
        <v>8</v>
      </c>
      <c r="I38" s="25">
        <f>G38*H38</f>
        <v>64</v>
      </c>
    </row>
    <row r="39" spans="6:9" ht="23.25" thickBot="1" x14ac:dyDescent="0.3">
      <c r="F39" s="11" t="s">
        <v>18</v>
      </c>
      <c r="G39" s="12">
        <f>VLOOKUP(F39,Table1[],2,FALSE)</f>
        <v>1600</v>
      </c>
      <c r="H39" s="13">
        <v>30</v>
      </c>
      <c r="I39" s="25">
        <f t="shared" si="2"/>
        <v>48</v>
      </c>
    </row>
    <row r="40" spans="6:9" ht="23.25" thickBot="1" x14ac:dyDescent="0.3">
      <c r="F40" s="11" t="s">
        <v>15</v>
      </c>
      <c r="G40" s="12">
        <f>VLOOKUP(F40,Table1[],2,FALSE)</f>
        <v>1300</v>
      </c>
      <c r="H40" s="13">
        <v>20</v>
      </c>
      <c r="I40" s="25">
        <f t="shared" si="2"/>
        <v>26</v>
      </c>
    </row>
    <row r="41" spans="6:9" ht="23.25" thickBot="1" x14ac:dyDescent="0.3">
      <c r="F41" s="14" t="s">
        <v>73</v>
      </c>
      <c r="G41" s="15"/>
      <c r="H41" s="16"/>
      <c r="I41" s="26">
        <f>SUM(I32:I40)</f>
        <v>636.25</v>
      </c>
    </row>
    <row r="42" spans="6:9" ht="23.25" thickTop="1" x14ac:dyDescent="0.25"/>
  </sheetData>
  <dataValidations count="13">
    <dataValidation type="list" allowBlank="1" showInputMessage="1" showErrorMessage="1" sqref="F8">
      <formula1>$B$49:$B$59</formula1>
    </dataValidation>
    <dataValidation type="list" allowBlank="1" showInputMessage="1" showErrorMessage="1" sqref="F19">
      <formula1>$B$49:$B$59</formula1>
    </dataValidation>
    <dataValidation type="list" allowBlank="1" showInputMessage="1" showErrorMessage="1" sqref="F24">
      <formula1>$B$49:$B$59</formula1>
    </dataValidation>
    <dataValidation type="list" allowBlank="1" showInputMessage="1" showErrorMessage="1" sqref="F32">
      <formula1>$B$49:$B$59</formula1>
    </dataValidation>
    <dataValidation type="list" allowBlank="1" showInputMessage="1" showErrorMessage="1" sqref="F38">
      <formula1>$B$49:$B$59</formula1>
    </dataValidation>
    <dataValidation type="list" allowBlank="1" showInputMessage="1" showErrorMessage="1" sqref="F34">
      <formula1>$B$49:$B$59</formula1>
    </dataValidation>
    <dataValidation type="list" allowBlank="1" showInputMessage="1" showErrorMessage="1" sqref="F9:F10">
      <formula1>$B$12:$B$19</formula1>
    </dataValidation>
    <dataValidation type="list" allowBlank="1" showInputMessage="1" showErrorMessage="1" sqref="F20">
      <formula1>$B$12:$B$19</formula1>
    </dataValidation>
    <dataValidation type="list" allowBlank="1" showInputMessage="1" showErrorMessage="1" sqref="F25:F26">
      <formula1>$B$12:$B$19</formula1>
    </dataValidation>
    <dataValidation type="list" allowBlank="1" showInputMessage="1" showErrorMessage="1" sqref="F39:F40">
      <formula1>$B$12:$B$19</formula1>
    </dataValidation>
    <dataValidation type="list" allowBlank="1" showInputMessage="1" showErrorMessage="1" sqref="F33">
      <formula1>$B$12:$B$19</formula1>
    </dataValidation>
    <dataValidation type="list" allowBlank="1" showInputMessage="1" showErrorMessage="1" sqref="F21:F23">
      <formula1>$B$20:$B$28</formula1>
    </dataValidation>
    <dataValidation type="list" allowBlank="1" showInputMessage="1" showErrorMessage="1" sqref="F35:F37">
      <formula1>$B$20:$B$28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جداول!$B$49:$B$59</xm:f>
          </x14:formula1>
          <xm:sqref>F4</xm:sqref>
        </x14:dataValidation>
        <x14:dataValidation type="list" allowBlank="1" showInputMessage="1" showErrorMessage="1">
          <x14:formula1>
            <xm:f>جداول!$B$12:$B$19</xm:f>
          </x14:formula1>
          <xm:sqref>F5</xm:sqref>
        </x14:dataValidation>
        <x14:dataValidation type="list" allowBlank="1" showInputMessage="1" showErrorMessage="1">
          <x14:formula1>
            <xm:f>جداول!$B$20:$B$28</xm:f>
          </x14:formula1>
          <xm:sqref>F6</xm:sqref>
        </x14:dataValidation>
        <x14:dataValidation type="list" allowBlank="1" showInputMessage="1" showErrorMessage="1">
          <x14:formula1>
            <xm:f>جداول!$B$41:$B$48</xm:f>
          </x14:formula1>
          <xm:sqref>F7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9DDFF"/>
  </sheetPr>
  <dimension ref="B1:L56"/>
  <sheetViews>
    <sheetView showGridLines="0" zoomScaleNormal="100" workbookViewId="0">
      <selection activeCell="D2" sqref="D2"/>
    </sheetView>
  </sheetViews>
  <sheetFormatPr defaultColWidth="15" defaultRowHeight="22.5" x14ac:dyDescent="0.25"/>
  <cols>
    <col min="1" max="1" width="4.28515625" style="1" customWidth="1"/>
    <col min="2" max="2" width="47" style="1" bestFit="1" customWidth="1"/>
    <col min="3" max="3" width="21" style="1" customWidth="1"/>
    <col min="4" max="4" width="24.140625" style="1" bestFit="1" customWidth="1"/>
    <col min="5" max="5" width="13.5703125" style="1" customWidth="1"/>
    <col min="6" max="6" width="68.7109375" style="1" bestFit="1" customWidth="1"/>
    <col min="7" max="7" width="28.42578125" style="1" bestFit="1" customWidth="1"/>
    <col min="8" max="8" width="14.85546875" style="1" bestFit="1" customWidth="1"/>
    <col min="9" max="9" width="26.5703125" style="1" bestFit="1" customWidth="1"/>
    <col min="10" max="10" width="21.28515625" style="1" bestFit="1" customWidth="1"/>
    <col min="11" max="11" width="14.85546875" style="1" bestFit="1" customWidth="1"/>
    <col min="12" max="16384" width="15" style="1"/>
  </cols>
  <sheetData>
    <row r="1" spans="2:4" ht="23.25" thickBot="1" x14ac:dyDescent="0.3"/>
    <row r="2" spans="2:4" ht="23.25" thickTop="1" x14ac:dyDescent="0.25">
      <c r="B2" s="81" t="s">
        <v>226</v>
      </c>
      <c r="C2" s="84">
        <v>500</v>
      </c>
      <c r="D2" s="56" t="s">
        <v>138</v>
      </c>
    </row>
    <row r="3" spans="2:4" x14ac:dyDescent="0.25">
      <c r="B3" s="82" t="s">
        <v>216</v>
      </c>
      <c r="C3" s="96">
        <v>2.7</v>
      </c>
      <c r="D3" s="56" t="s">
        <v>139</v>
      </c>
    </row>
    <row r="4" spans="2:4" x14ac:dyDescent="0.25">
      <c r="B4" s="82" t="s">
        <v>217</v>
      </c>
      <c r="C4" s="96">
        <v>0.9</v>
      </c>
      <c r="D4" s="56" t="s">
        <v>139</v>
      </c>
    </row>
    <row r="5" spans="2:4" x14ac:dyDescent="0.25">
      <c r="B5" s="82" t="s">
        <v>227</v>
      </c>
      <c r="C5" s="96">
        <v>2.4</v>
      </c>
      <c r="D5" s="56" t="s">
        <v>139</v>
      </c>
    </row>
    <row r="6" spans="2:4" x14ac:dyDescent="0.25">
      <c r="B6" s="82" t="s">
        <v>228</v>
      </c>
      <c r="C6" s="96">
        <v>1.1000000000000001</v>
      </c>
      <c r="D6" s="56" t="s">
        <v>139</v>
      </c>
    </row>
    <row r="7" spans="2:4" x14ac:dyDescent="0.25">
      <c r="B7" s="82" t="s">
        <v>229</v>
      </c>
      <c r="C7" s="144">
        <f>C3*(C4+C6)</f>
        <v>5.4</v>
      </c>
      <c r="D7" s="56" t="s">
        <v>140</v>
      </c>
    </row>
    <row r="8" spans="2:4" x14ac:dyDescent="0.25">
      <c r="B8" s="82" t="s">
        <v>230</v>
      </c>
      <c r="C8" s="144">
        <f>C3*C5</f>
        <v>6.48</v>
      </c>
      <c r="D8" s="56" t="s">
        <v>140</v>
      </c>
    </row>
    <row r="9" spans="2:4" x14ac:dyDescent="0.25">
      <c r="B9" s="82" t="s">
        <v>231</v>
      </c>
      <c r="C9" s="141">
        <f>I23/100</f>
        <v>0.16</v>
      </c>
      <c r="D9" s="56" t="s">
        <v>139</v>
      </c>
    </row>
    <row r="10" spans="2:4" x14ac:dyDescent="0.25">
      <c r="B10" s="82" t="s">
        <v>232</v>
      </c>
      <c r="C10" s="141">
        <f>F23/100</f>
        <v>0.28000000000000003</v>
      </c>
      <c r="D10" s="56" t="s">
        <v>139</v>
      </c>
    </row>
    <row r="11" spans="2:4" x14ac:dyDescent="0.25">
      <c r="B11" s="82" t="s">
        <v>252</v>
      </c>
      <c r="C11" s="143">
        <f>J31</f>
        <v>63.76</v>
      </c>
      <c r="D11" s="56" t="s">
        <v>251</v>
      </c>
    </row>
    <row r="12" spans="2:4" x14ac:dyDescent="0.25">
      <c r="B12" s="82" t="s">
        <v>249</v>
      </c>
      <c r="C12" s="142">
        <f>C11/SQRT(C9^2+C10^2)</f>
        <v>197.71136693519827</v>
      </c>
      <c r="D12" s="56" t="s">
        <v>138</v>
      </c>
    </row>
    <row r="13" spans="2:4" x14ac:dyDescent="0.25">
      <c r="B13" s="82" t="s">
        <v>253</v>
      </c>
      <c r="C13" s="142">
        <f>I42</f>
        <v>510.75</v>
      </c>
      <c r="D13" s="56" t="s">
        <v>138</v>
      </c>
    </row>
    <row r="14" spans="2:4" x14ac:dyDescent="0.25">
      <c r="B14" s="82" t="s">
        <v>234</v>
      </c>
      <c r="C14" s="142">
        <f>C12+C13</f>
        <v>708.46136693519827</v>
      </c>
      <c r="D14" s="56" t="s">
        <v>138</v>
      </c>
    </row>
    <row r="15" spans="2:4" x14ac:dyDescent="0.25">
      <c r="B15" s="82" t="s">
        <v>233</v>
      </c>
      <c r="C15" s="139">
        <f>ATAN(C9/C10)</f>
        <v>0.51914611424652291</v>
      </c>
      <c r="D15" s="56"/>
    </row>
    <row r="16" spans="2:4" x14ac:dyDescent="0.25">
      <c r="B16" s="82" t="s">
        <v>235</v>
      </c>
      <c r="C16" s="143">
        <f>C14/COS(C15)</f>
        <v>815.97116356335493</v>
      </c>
      <c r="D16" s="56" t="s">
        <v>138</v>
      </c>
    </row>
    <row r="17" spans="2:12" ht="23.25" thickBot="1" x14ac:dyDescent="0.3">
      <c r="B17" s="117" t="s">
        <v>236</v>
      </c>
      <c r="C17" s="146">
        <f>I55</f>
        <v>621.25</v>
      </c>
      <c r="D17" s="56" t="s">
        <v>138</v>
      </c>
    </row>
    <row r="18" spans="2:12" x14ac:dyDescent="0.25">
      <c r="B18" s="148" t="s">
        <v>237</v>
      </c>
      <c r="C18" s="149">
        <f xml:space="preserve"> ROUNDUP( ( (C16*C8)+(C17*C7) ) / 8, 0 )</f>
        <v>1081</v>
      </c>
      <c r="D18" s="97" t="s">
        <v>239</v>
      </c>
    </row>
    <row r="19" spans="2:12" ht="23.25" thickBot="1" x14ac:dyDescent="0.3">
      <c r="B19" s="150" t="s">
        <v>238</v>
      </c>
      <c r="C19" s="151">
        <f xml:space="preserve"> ROUNDUP( C2*(C7+C8) / 8, 0 )</f>
        <v>743</v>
      </c>
      <c r="D19" s="97" t="s">
        <v>239</v>
      </c>
      <c r="F19" s="1" t="s">
        <v>164</v>
      </c>
    </row>
    <row r="20" spans="2:12" ht="24" thickTop="1" thickBot="1" x14ac:dyDescent="0.3"/>
    <row r="21" spans="2:12" ht="23.25" thickTop="1" x14ac:dyDescent="0.25">
      <c r="F21" s="155" t="s">
        <v>243</v>
      </c>
      <c r="G21" s="156" t="s">
        <v>245</v>
      </c>
      <c r="H21" s="156" t="s">
        <v>244</v>
      </c>
      <c r="I21" s="156" t="s">
        <v>212</v>
      </c>
      <c r="J21" s="156" t="s">
        <v>246</v>
      </c>
      <c r="K21" s="157" t="s">
        <v>247</v>
      </c>
    </row>
    <row r="22" spans="2:12" ht="23.25" thickBot="1" x14ac:dyDescent="0.3">
      <c r="F22" s="158" t="s">
        <v>248</v>
      </c>
      <c r="G22" s="159" t="s">
        <v>248</v>
      </c>
      <c r="H22" s="159" t="s">
        <v>248</v>
      </c>
      <c r="I22" s="159" t="s">
        <v>248</v>
      </c>
      <c r="J22" s="159" t="s">
        <v>248</v>
      </c>
      <c r="K22" s="160" t="s">
        <v>248</v>
      </c>
      <c r="L22" s="56"/>
    </row>
    <row r="23" spans="2:12" ht="23.25" thickBot="1" x14ac:dyDescent="0.3">
      <c r="F23" s="152">
        <v>28</v>
      </c>
      <c r="G23" s="153">
        <v>2</v>
      </c>
      <c r="H23" s="153">
        <v>4</v>
      </c>
      <c r="I23" s="153">
        <v>16</v>
      </c>
      <c r="J23" s="153">
        <v>2</v>
      </c>
      <c r="K23" s="154">
        <v>2</v>
      </c>
    </row>
    <row r="24" spans="2:12" ht="24" thickTop="1" thickBot="1" x14ac:dyDescent="0.3"/>
    <row r="25" spans="2:12" ht="23.25" thickTop="1" x14ac:dyDescent="0.25">
      <c r="F25" s="129"/>
      <c r="G25" s="125" t="s">
        <v>68</v>
      </c>
      <c r="H25" s="121" t="s">
        <v>69</v>
      </c>
      <c r="I25" s="121" t="s">
        <v>240</v>
      </c>
      <c r="J25" s="122" t="s">
        <v>241</v>
      </c>
    </row>
    <row r="26" spans="2:12" ht="23.25" thickBot="1" x14ac:dyDescent="0.3">
      <c r="F26" s="130"/>
      <c r="G26" s="126" t="s">
        <v>67</v>
      </c>
      <c r="H26" s="123" t="s">
        <v>248</v>
      </c>
      <c r="I26" s="123" t="s">
        <v>248</v>
      </c>
      <c r="J26" s="124" t="s">
        <v>242</v>
      </c>
    </row>
    <row r="27" spans="2:12" x14ac:dyDescent="0.25">
      <c r="F27" s="131" t="s">
        <v>55</v>
      </c>
      <c r="G27" s="127">
        <f>VLOOKUP(F27,Table1[],2,FALSE)</f>
        <v>2250</v>
      </c>
      <c r="H27" s="119">
        <f>H23</f>
        <v>4</v>
      </c>
      <c r="I27" s="119">
        <f>F23+G23</f>
        <v>30</v>
      </c>
      <c r="J27" s="120">
        <f>G27*(H27/100)*(I27/100)</f>
        <v>27</v>
      </c>
    </row>
    <row r="28" spans="2:12" x14ac:dyDescent="0.25">
      <c r="F28" s="132" t="s">
        <v>14</v>
      </c>
      <c r="G28" s="128">
        <f>VLOOKUP(F28,Table1[],2,FALSE)</f>
        <v>2100</v>
      </c>
      <c r="H28" s="118">
        <f>K23</f>
        <v>2</v>
      </c>
      <c r="I28" s="118">
        <f>F23+I23-H23-J23</f>
        <v>38</v>
      </c>
      <c r="J28" s="120">
        <f t="shared" ref="J28" si="0">G28*(H28/100)*(I28/100)</f>
        <v>15.96</v>
      </c>
    </row>
    <row r="29" spans="2:12" x14ac:dyDescent="0.25">
      <c r="F29" s="132" t="s">
        <v>47</v>
      </c>
      <c r="G29" s="128">
        <f>VLOOKUP(F29,Table1[],2,FALSE)</f>
        <v>1750</v>
      </c>
      <c r="H29" s="118">
        <f>I23-H23-(2*K23)</f>
        <v>8</v>
      </c>
      <c r="I29" s="118">
        <f>F23-J23-K23-K23</f>
        <v>22</v>
      </c>
      <c r="J29" s="120">
        <f>0.5*G29*(H29/100)*(I29/100)</f>
        <v>15.4</v>
      </c>
    </row>
    <row r="30" spans="2:12" ht="23.25" thickBot="1" x14ac:dyDescent="0.3">
      <c r="F30" s="133" t="s">
        <v>55</v>
      </c>
      <c r="G30" s="134">
        <f>VLOOKUP(F30,Table1[],2,FALSE)</f>
        <v>2250</v>
      </c>
      <c r="H30" s="140">
        <f>J23</f>
        <v>2</v>
      </c>
      <c r="I30" s="140">
        <f>I23-H23</f>
        <v>12</v>
      </c>
      <c r="J30" s="135">
        <f>G30*(H30/100)*(I30/100)</f>
        <v>5.3999999999999995</v>
      </c>
    </row>
    <row r="31" spans="2:12" ht="23.25" thickBot="1" x14ac:dyDescent="0.3">
      <c r="F31" s="136" t="s">
        <v>250</v>
      </c>
      <c r="G31" s="137"/>
      <c r="H31" s="138"/>
      <c r="I31" s="138"/>
      <c r="J31" s="147">
        <f>SUM(J27:J30)</f>
        <v>63.76</v>
      </c>
    </row>
    <row r="32" spans="2:12" ht="24" thickTop="1" thickBot="1" x14ac:dyDescent="0.3"/>
    <row r="33" spans="6:9" ht="23.25" thickTop="1" x14ac:dyDescent="0.25">
      <c r="F33" s="17"/>
      <c r="G33" s="18" t="s">
        <v>68</v>
      </c>
      <c r="H33" s="19" t="s">
        <v>69</v>
      </c>
      <c r="I33" s="20" t="s">
        <v>71</v>
      </c>
    </row>
    <row r="34" spans="6:9" ht="23.25" thickBot="1" x14ac:dyDescent="0.3">
      <c r="F34" s="21"/>
      <c r="G34" s="22" t="s">
        <v>67</v>
      </c>
      <c r="H34" s="23" t="s">
        <v>70</v>
      </c>
      <c r="I34" s="24" t="s">
        <v>72</v>
      </c>
    </row>
    <row r="35" spans="6:9" ht="23.25" thickBot="1" x14ac:dyDescent="0.3">
      <c r="F35" s="11" t="s">
        <v>55</v>
      </c>
      <c r="G35" s="12">
        <f>VLOOKUP(F35,Table1[],2,FALSE)</f>
        <v>2250</v>
      </c>
      <c r="H35" s="13">
        <v>25</v>
      </c>
      <c r="I35" s="25">
        <f>G35*H35/1000</f>
        <v>56.25</v>
      </c>
    </row>
    <row r="36" spans="6:9" ht="23.25" thickBot="1" x14ac:dyDescent="0.3">
      <c r="F36" s="132" t="s">
        <v>14</v>
      </c>
      <c r="G36" s="12">
        <f>VLOOKUP(F36,Table1[],2,FALSE)</f>
        <v>2100</v>
      </c>
      <c r="H36" s="13">
        <v>20</v>
      </c>
      <c r="I36" s="25">
        <f t="shared" ref="I36:I41" si="1">G36*H36/1000</f>
        <v>42</v>
      </c>
    </row>
    <row r="37" spans="6:9" ht="23.25" thickBot="1" x14ac:dyDescent="0.3">
      <c r="F37" s="11" t="s">
        <v>28</v>
      </c>
      <c r="G37" s="12">
        <f>VLOOKUP(F37,Table1[],2,FALSE)</f>
        <v>1300</v>
      </c>
      <c r="H37" s="13">
        <v>100</v>
      </c>
      <c r="I37" s="25">
        <f t="shared" si="1"/>
        <v>130</v>
      </c>
    </row>
    <row r="38" spans="6:9" ht="23.25" thickBot="1" x14ac:dyDescent="0.3">
      <c r="F38" s="11" t="s">
        <v>47</v>
      </c>
      <c r="G38" s="12">
        <f>VLOOKUP(F38,Table1[],2,FALSE)</f>
        <v>1750</v>
      </c>
      <c r="H38" s="13">
        <v>110</v>
      </c>
      <c r="I38" s="25">
        <f t="shared" si="1"/>
        <v>192.5</v>
      </c>
    </row>
    <row r="39" spans="6:9" ht="23.25" thickBot="1" x14ac:dyDescent="0.3">
      <c r="F39" s="11" t="s">
        <v>66</v>
      </c>
      <c r="G39" s="13">
        <v>16</v>
      </c>
      <c r="H39" s="13">
        <v>1000</v>
      </c>
      <c r="I39" s="25">
        <f t="shared" si="1"/>
        <v>16</v>
      </c>
    </row>
    <row r="40" spans="6:9" ht="23.25" thickBot="1" x14ac:dyDescent="0.3">
      <c r="F40" s="132" t="s">
        <v>15</v>
      </c>
      <c r="G40" s="12">
        <f>VLOOKUP(F40,Table1[],2,FALSE)</f>
        <v>1300</v>
      </c>
      <c r="H40" s="13">
        <v>20</v>
      </c>
      <c r="I40" s="25">
        <f t="shared" si="1"/>
        <v>26</v>
      </c>
    </row>
    <row r="41" spans="6:9" ht="23.25" thickBot="1" x14ac:dyDescent="0.3">
      <c r="F41" s="132" t="s">
        <v>18</v>
      </c>
      <c r="G41" s="12">
        <f>VLOOKUP(F41,Table1[],2,FALSE)</f>
        <v>1600</v>
      </c>
      <c r="H41" s="13">
        <v>30</v>
      </c>
      <c r="I41" s="25">
        <f t="shared" si="1"/>
        <v>48</v>
      </c>
    </row>
    <row r="42" spans="6:9" ht="23.25" thickBot="1" x14ac:dyDescent="0.3">
      <c r="F42" s="14" t="s">
        <v>73</v>
      </c>
      <c r="G42" s="15"/>
      <c r="H42" s="16"/>
      <c r="I42" s="145">
        <f>SUM(I35:I41)</f>
        <v>510.75</v>
      </c>
    </row>
    <row r="43" spans="6:9" ht="23.25" thickTop="1" x14ac:dyDescent="0.25"/>
    <row r="44" spans="6:9" ht="23.25" thickBot="1" x14ac:dyDescent="0.3"/>
    <row r="45" spans="6:9" ht="23.25" thickTop="1" x14ac:dyDescent="0.25">
      <c r="F45" s="17"/>
      <c r="G45" s="18" t="s">
        <v>68</v>
      </c>
      <c r="H45" s="19" t="s">
        <v>69</v>
      </c>
      <c r="I45" s="20" t="s">
        <v>71</v>
      </c>
    </row>
    <row r="46" spans="6:9" ht="23.25" thickBot="1" x14ac:dyDescent="0.3">
      <c r="F46" s="21"/>
      <c r="G46" s="22" t="s">
        <v>67</v>
      </c>
      <c r="H46" s="23" t="s">
        <v>70</v>
      </c>
      <c r="I46" s="24" t="s">
        <v>72</v>
      </c>
    </row>
    <row r="47" spans="6:9" ht="23.25" thickBot="1" x14ac:dyDescent="0.3">
      <c r="F47" s="11" t="s">
        <v>55</v>
      </c>
      <c r="G47" s="12">
        <f>VLOOKUP(F47,Table1[],2,FALSE)</f>
        <v>2250</v>
      </c>
      <c r="H47" s="13">
        <v>25</v>
      </c>
      <c r="I47" s="25">
        <f>G47*H47/1000</f>
        <v>56.25</v>
      </c>
    </row>
    <row r="48" spans="6:9" ht="23.25" thickBot="1" x14ac:dyDescent="0.3">
      <c r="F48" s="132" t="s">
        <v>14</v>
      </c>
      <c r="G48" s="12">
        <f>VLOOKUP(F48,Table1[],2,FALSE)</f>
        <v>2100</v>
      </c>
      <c r="H48" s="13">
        <v>20</v>
      </c>
      <c r="I48" s="25">
        <f t="shared" ref="I48:I54" si="2">G48*H48/1000</f>
        <v>42</v>
      </c>
    </row>
    <row r="49" spans="6:9" ht="23.25" thickBot="1" x14ac:dyDescent="0.3">
      <c r="F49" s="11" t="s">
        <v>28</v>
      </c>
      <c r="G49" s="12">
        <f>VLOOKUP(F49,Table1[],2,FALSE)</f>
        <v>1300</v>
      </c>
      <c r="H49" s="13">
        <v>50</v>
      </c>
      <c r="I49" s="25">
        <f t="shared" si="2"/>
        <v>65</v>
      </c>
    </row>
    <row r="50" spans="6:9" ht="23.25" thickBot="1" x14ac:dyDescent="0.3">
      <c r="F50" s="11" t="s">
        <v>21</v>
      </c>
      <c r="G50" s="12">
        <f>VLOOKUP(F50,Table1[],2,FALSE)</f>
        <v>2400</v>
      </c>
      <c r="H50" s="13">
        <v>50</v>
      </c>
      <c r="I50" s="25">
        <f t="shared" si="2"/>
        <v>120</v>
      </c>
    </row>
    <row r="51" spans="6:9" ht="23.25" thickBot="1" x14ac:dyDescent="0.3">
      <c r="F51" s="11" t="s">
        <v>22</v>
      </c>
      <c r="G51" s="12">
        <f>VLOOKUP(F51,Table1[],2,FALSE)</f>
        <v>2500</v>
      </c>
      <c r="H51" s="13">
        <v>80</v>
      </c>
      <c r="I51" s="25">
        <f t="shared" si="2"/>
        <v>200</v>
      </c>
    </row>
    <row r="52" spans="6:9" ht="23.25" thickBot="1" x14ac:dyDescent="0.3">
      <c r="F52" s="11" t="s">
        <v>64</v>
      </c>
      <c r="G52" s="12">
        <f>VLOOKUP(F52,Table1[],2,FALSE)</f>
        <v>8</v>
      </c>
      <c r="H52" s="13">
        <v>8</v>
      </c>
      <c r="I52" s="25">
        <f>G52*H52</f>
        <v>64</v>
      </c>
    </row>
    <row r="53" spans="6:9" ht="23.25" thickBot="1" x14ac:dyDescent="0.3">
      <c r="F53" s="132" t="s">
        <v>18</v>
      </c>
      <c r="G53" s="12">
        <f>VLOOKUP(F53,Table1[],2,FALSE)</f>
        <v>1600</v>
      </c>
      <c r="H53" s="13">
        <v>30</v>
      </c>
      <c r="I53" s="25">
        <f t="shared" si="2"/>
        <v>48</v>
      </c>
    </row>
    <row r="54" spans="6:9" ht="23.25" thickBot="1" x14ac:dyDescent="0.3">
      <c r="F54" s="132" t="s">
        <v>15</v>
      </c>
      <c r="G54" s="12">
        <f>VLOOKUP(F54,Table1[],2,FALSE)</f>
        <v>1300</v>
      </c>
      <c r="H54" s="13">
        <v>20</v>
      </c>
      <c r="I54" s="25">
        <f t="shared" si="2"/>
        <v>26</v>
      </c>
    </row>
    <row r="55" spans="6:9" ht="23.25" thickBot="1" x14ac:dyDescent="0.3">
      <c r="F55" s="14" t="s">
        <v>73</v>
      </c>
      <c r="G55" s="15"/>
      <c r="H55" s="16"/>
      <c r="I55" s="145">
        <f>SUM(I47:I54)</f>
        <v>621.25</v>
      </c>
    </row>
    <row r="56" spans="6:9" ht="23.25" thickTop="1" x14ac:dyDescent="0.25"/>
  </sheetData>
  <dataValidations count="1">
    <dataValidation type="list" allowBlank="1" showInputMessage="1" showErrorMessage="1" sqref="F39">
      <formula1>$B$50:$B$60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>
          <x14:formula1>
            <xm:f>جداول!$B$32:$B$53</xm:f>
          </x14:formula1>
          <xm:sqref>F27 F30</xm:sqref>
        </x14:dataValidation>
        <x14:dataValidation type="list" allowBlank="1" showInputMessage="1" showErrorMessage="1">
          <x14:formula1>
            <xm:f>جداول!$B$12:$B$19</xm:f>
          </x14:formula1>
          <xm:sqref>F28 F40:F41 F36 F48 F53:F54</xm:sqref>
        </x14:dataValidation>
        <x14:dataValidation type="list" allowBlank="1" showInputMessage="1" showErrorMessage="1">
          <x14:formula1>
            <xm:f>جداول!$B$41:$B$48</xm:f>
          </x14:formula1>
          <xm:sqref>F29 F38</xm:sqref>
        </x14:dataValidation>
        <x14:dataValidation type="list" allowBlank="1" showInputMessage="1" showErrorMessage="1">
          <x14:formula1>
            <xm:f>جداول!$B$49:$B$59</xm:f>
          </x14:formula1>
          <xm:sqref>F35 F47 F52</xm:sqref>
        </x14:dataValidation>
        <x14:dataValidation type="list" allowBlank="1" showInputMessage="1" showErrorMessage="1">
          <x14:formula1>
            <xm:f>جداول!$B$20:$B$28</xm:f>
          </x14:formula1>
          <xm:sqref>F49:F51 F37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9DDFF"/>
  </sheetPr>
  <dimension ref="B1:D14"/>
  <sheetViews>
    <sheetView showGridLines="0" workbookViewId="0">
      <selection sqref="A1:XFD1048576"/>
    </sheetView>
  </sheetViews>
  <sheetFormatPr defaultColWidth="15" defaultRowHeight="22.5" x14ac:dyDescent="0.25"/>
  <cols>
    <col min="1" max="1" width="4.28515625" style="1" customWidth="1"/>
    <col min="2" max="2" width="48.42578125" style="1" customWidth="1"/>
    <col min="3" max="3" width="21" style="1" customWidth="1"/>
    <col min="4" max="4" width="24.140625" style="1" bestFit="1" customWidth="1"/>
    <col min="5" max="5" width="26.5703125" style="1" bestFit="1" customWidth="1"/>
    <col min="6" max="6" width="21.28515625" style="1" bestFit="1" customWidth="1"/>
    <col min="7" max="7" width="14.85546875" style="1" bestFit="1" customWidth="1"/>
    <col min="8" max="16384" width="15" style="1"/>
  </cols>
  <sheetData>
    <row r="1" spans="2:4" ht="23.25" thickBot="1" x14ac:dyDescent="0.3"/>
    <row r="2" spans="2:4" ht="23.25" thickTop="1" x14ac:dyDescent="0.25">
      <c r="B2" s="81" t="s">
        <v>254</v>
      </c>
      <c r="C2" s="167">
        <f>2.9*4.95</f>
        <v>14.355</v>
      </c>
      <c r="D2" s="56" t="s">
        <v>140</v>
      </c>
    </row>
    <row r="3" spans="2:4" x14ac:dyDescent="0.25">
      <c r="B3" s="82" t="s">
        <v>255</v>
      </c>
      <c r="C3" s="96">
        <f>2.8-0.3</f>
        <v>2.5</v>
      </c>
      <c r="D3" s="56" t="s">
        <v>139</v>
      </c>
    </row>
    <row r="4" spans="2:4" x14ac:dyDescent="0.25">
      <c r="B4" s="82" t="s">
        <v>256</v>
      </c>
      <c r="C4" s="91">
        <f>دیوار!J9</f>
        <v>144</v>
      </c>
      <c r="D4" s="56" t="s">
        <v>138</v>
      </c>
    </row>
    <row r="5" spans="2:4" x14ac:dyDescent="0.25">
      <c r="B5" s="82" t="s">
        <v>257</v>
      </c>
      <c r="C5" s="91">
        <f>دیوار!J23</f>
        <v>88</v>
      </c>
      <c r="D5" s="56" t="s">
        <v>139</v>
      </c>
    </row>
    <row r="6" spans="2:4" x14ac:dyDescent="0.25">
      <c r="B6" s="82" t="s">
        <v>258</v>
      </c>
      <c r="C6" s="144">
        <f>سقف!I41</f>
        <v>636.25</v>
      </c>
      <c r="D6" s="56" t="s">
        <v>138</v>
      </c>
    </row>
    <row r="7" spans="2:4" x14ac:dyDescent="0.25">
      <c r="B7" s="82" t="s">
        <v>259</v>
      </c>
      <c r="C7" s="91">
        <f>'کاهش سربار بام'!C10</f>
        <v>150</v>
      </c>
      <c r="D7" s="56" t="s">
        <v>138</v>
      </c>
    </row>
    <row r="8" spans="2:4" ht="23.25" thickBot="1" x14ac:dyDescent="0.3">
      <c r="B8" s="168" t="s">
        <v>260</v>
      </c>
      <c r="C8" s="169">
        <f>برف!C12</f>
        <v>181.44</v>
      </c>
      <c r="D8" s="56" t="s">
        <v>138</v>
      </c>
    </row>
    <row r="9" spans="2:4" x14ac:dyDescent="0.25">
      <c r="B9" s="170" t="s">
        <v>261</v>
      </c>
      <c r="C9" s="166">
        <f>C4*$C$3</f>
        <v>360</v>
      </c>
      <c r="D9" s="97" t="s">
        <v>251</v>
      </c>
    </row>
    <row r="10" spans="2:4" x14ac:dyDescent="0.25">
      <c r="B10" s="163" t="s">
        <v>262</v>
      </c>
      <c r="C10" s="164">
        <f>C5*$C$3</f>
        <v>220</v>
      </c>
      <c r="D10" s="97" t="s">
        <v>251</v>
      </c>
    </row>
    <row r="11" spans="2:4" x14ac:dyDescent="0.25">
      <c r="B11" s="163" t="s">
        <v>263</v>
      </c>
      <c r="C11" s="164">
        <f>$C$2*C6/4</f>
        <v>2283.3421874999999</v>
      </c>
      <c r="D11" s="97" t="s">
        <v>239</v>
      </c>
    </row>
    <row r="12" spans="2:4" x14ac:dyDescent="0.25">
      <c r="B12" s="163" t="s">
        <v>264</v>
      </c>
      <c r="C12" s="164">
        <f t="shared" ref="C12:C13" si="0">$C$2*C7/4</f>
        <v>538.3125</v>
      </c>
      <c r="D12" s="97" t="s">
        <v>239</v>
      </c>
    </row>
    <row r="13" spans="2:4" ht="23.25" thickBot="1" x14ac:dyDescent="0.3">
      <c r="B13" s="150" t="s">
        <v>265</v>
      </c>
      <c r="C13" s="165">
        <f t="shared" si="0"/>
        <v>651.14279999999997</v>
      </c>
      <c r="D13" s="97" t="s">
        <v>239</v>
      </c>
    </row>
    <row r="14" spans="2:4" ht="23.25" thickTop="1" x14ac:dyDescent="0.25"/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Y59"/>
  <sheetViews>
    <sheetView showGridLines="0" topLeftCell="N24" zoomScale="112" zoomScaleNormal="112" workbookViewId="0">
      <selection activeCell="P34" sqref="P34"/>
    </sheetView>
  </sheetViews>
  <sheetFormatPr defaultColWidth="14.28515625" defaultRowHeight="22.5" x14ac:dyDescent="0.25"/>
  <cols>
    <col min="1" max="1" width="21.140625" style="7" customWidth="1"/>
    <col min="2" max="2" width="74.28515625" style="3" bestFit="1" customWidth="1"/>
    <col min="3" max="3" width="44.28515625" style="3" customWidth="1"/>
    <col min="4" max="4" width="14.28515625" style="3"/>
    <col min="5" max="5" width="16" style="7" customWidth="1"/>
    <col min="6" max="6" width="85.7109375" style="3" customWidth="1"/>
    <col min="7" max="7" width="78.140625" style="3" bestFit="1" customWidth="1"/>
    <col min="8" max="8" width="14.28515625" style="3"/>
    <col min="9" max="9" width="16" style="7" customWidth="1"/>
    <col min="10" max="10" width="38.5703125" style="3" customWidth="1"/>
    <col min="11" max="11" width="19.7109375" style="3" bestFit="1" customWidth="1"/>
    <col min="12" max="12" width="36.28515625" style="3" bestFit="1" customWidth="1"/>
    <col min="13" max="13" width="29.5703125" style="3" bestFit="1" customWidth="1"/>
    <col min="14" max="14" width="30.42578125" style="3" customWidth="1"/>
    <col min="15" max="15" width="14.28515625" style="3"/>
    <col min="16" max="16" width="79.28515625" style="3" customWidth="1"/>
    <col min="17" max="17" width="27.85546875" style="3" customWidth="1"/>
    <col min="18" max="18" width="32.140625" style="3" customWidth="1"/>
    <col min="19" max="22" width="15.140625" style="3" customWidth="1"/>
    <col min="23" max="23" width="14.28515625" style="3"/>
    <col min="24" max="24" width="93" style="3" bestFit="1" customWidth="1"/>
    <col min="25" max="16384" width="14.28515625" style="3"/>
  </cols>
  <sheetData>
    <row r="2" spans="1:25" x14ac:dyDescent="0.25">
      <c r="A2" s="35"/>
      <c r="B2" s="34" t="s">
        <v>0</v>
      </c>
      <c r="C2" s="34" t="s">
        <v>65</v>
      </c>
      <c r="E2" s="35"/>
      <c r="F2" s="34" t="s">
        <v>110</v>
      </c>
      <c r="G2" s="34" t="s">
        <v>111</v>
      </c>
      <c r="J2" s="34" t="s">
        <v>124</v>
      </c>
      <c r="K2" s="34" t="s">
        <v>126</v>
      </c>
      <c r="M2" s="34" t="s">
        <v>192</v>
      </c>
      <c r="P2" s="3" t="s">
        <v>275</v>
      </c>
      <c r="Q2" s="3" t="s">
        <v>276</v>
      </c>
      <c r="R2" s="3" t="s">
        <v>277</v>
      </c>
      <c r="X2" s="3" t="s">
        <v>307</v>
      </c>
      <c r="Y2" s="3" t="s">
        <v>306</v>
      </c>
    </row>
    <row r="3" spans="1:25" x14ac:dyDescent="0.25">
      <c r="A3" s="35" t="s">
        <v>1</v>
      </c>
      <c r="B3" s="3" t="s">
        <v>2</v>
      </c>
      <c r="C3" s="4">
        <v>1700</v>
      </c>
      <c r="E3" s="35" t="s">
        <v>81</v>
      </c>
      <c r="F3" s="3" t="s">
        <v>82</v>
      </c>
      <c r="G3" s="32">
        <v>1.5</v>
      </c>
      <c r="I3" s="35" t="s">
        <v>112</v>
      </c>
      <c r="J3" s="3" t="s">
        <v>154</v>
      </c>
      <c r="K3" s="4">
        <v>4</v>
      </c>
      <c r="M3" s="3" t="s">
        <v>193</v>
      </c>
      <c r="P3" s="3" t="s">
        <v>278</v>
      </c>
      <c r="Q3" s="182">
        <v>0.05</v>
      </c>
      <c r="R3" s="93">
        <v>0.9</v>
      </c>
      <c r="X3" s="3" t="s">
        <v>310</v>
      </c>
      <c r="Y3" s="191">
        <v>6</v>
      </c>
    </row>
    <row r="4" spans="1:25" x14ac:dyDescent="0.25">
      <c r="A4" s="35"/>
      <c r="B4" s="3" t="s">
        <v>3</v>
      </c>
      <c r="C4" s="4">
        <v>1300</v>
      </c>
      <c r="E4" s="35"/>
      <c r="F4" s="3" t="s">
        <v>83</v>
      </c>
      <c r="G4" s="32">
        <v>0.5</v>
      </c>
      <c r="I4" s="35"/>
      <c r="J4" s="3" t="s">
        <v>145</v>
      </c>
      <c r="K4" s="4">
        <v>4</v>
      </c>
      <c r="M4" s="3" t="s">
        <v>194</v>
      </c>
      <c r="P4" s="3" t="s">
        <v>279</v>
      </c>
      <c r="Q4" s="182">
        <v>0.04</v>
      </c>
      <c r="R4" s="93">
        <v>0.9</v>
      </c>
      <c r="X4" s="3" t="s">
        <v>309</v>
      </c>
      <c r="Y4" s="191">
        <v>5</v>
      </c>
    </row>
    <row r="5" spans="1:25" x14ac:dyDescent="0.25">
      <c r="A5" s="35"/>
      <c r="B5" s="3" t="s">
        <v>4</v>
      </c>
      <c r="C5" s="4">
        <v>1450</v>
      </c>
      <c r="E5" s="35"/>
      <c r="F5" s="3" t="s">
        <v>84</v>
      </c>
      <c r="G5" s="4">
        <v>5</v>
      </c>
      <c r="I5" s="35"/>
      <c r="J5" s="3" t="s">
        <v>113</v>
      </c>
      <c r="K5" s="4">
        <v>3</v>
      </c>
      <c r="P5" s="3" t="s">
        <v>280</v>
      </c>
      <c r="Q5" s="182">
        <v>0.08</v>
      </c>
      <c r="R5" s="93">
        <v>0.75</v>
      </c>
      <c r="X5" s="3" t="s">
        <v>308</v>
      </c>
      <c r="Y5" s="191">
        <v>4</v>
      </c>
    </row>
    <row r="6" spans="1:25" x14ac:dyDescent="0.25">
      <c r="A6" s="35"/>
      <c r="B6" s="3" t="s">
        <v>5</v>
      </c>
      <c r="C6" s="4">
        <v>1800</v>
      </c>
      <c r="E6" s="35"/>
      <c r="F6" s="3" t="s">
        <v>85</v>
      </c>
      <c r="G6" s="32" t="s">
        <v>89</v>
      </c>
      <c r="I6" s="35"/>
      <c r="J6" s="3" t="s">
        <v>114</v>
      </c>
      <c r="K6" s="4">
        <v>2</v>
      </c>
      <c r="M6" s="34" t="s">
        <v>266</v>
      </c>
      <c r="P6" s="3" t="s">
        <v>281</v>
      </c>
      <c r="Q6" s="182">
        <v>6.4000000000000001E-2</v>
      </c>
      <c r="R6" s="93">
        <v>0.75</v>
      </c>
      <c r="X6" s="3" t="s">
        <v>311</v>
      </c>
      <c r="Y6" s="191">
        <v>7</v>
      </c>
    </row>
    <row r="7" spans="1:25" x14ac:dyDescent="0.25">
      <c r="A7" s="35"/>
      <c r="B7" s="3" t="s">
        <v>6</v>
      </c>
      <c r="C7" s="4">
        <v>1850</v>
      </c>
      <c r="E7" s="35"/>
      <c r="F7" s="3" t="s">
        <v>86</v>
      </c>
      <c r="G7" s="32" t="s">
        <v>88</v>
      </c>
      <c r="I7" s="35" t="s">
        <v>116</v>
      </c>
      <c r="J7" s="3" t="s">
        <v>115</v>
      </c>
      <c r="K7" s="4">
        <v>2</v>
      </c>
      <c r="M7" s="3" t="s">
        <v>267</v>
      </c>
      <c r="P7" s="3" t="s">
        <v>283</v>
      </c>
      <c r="Q7" s="182">
        <v>0.08</v>
      </c>
      <c r="R7" s="93">
        <v>0.75</v>
      </c>
      <c r="X7" s="3" t="s">
        <v>312</v>
      </c>
      <c r="Y7" s="191">
        <v>7</v>
      </c>
    </row>
    <row r="8" spans="1:25" x14ac:dyDescent="0.25">
      <c r="A8" s="35"/>
      <c r="B8" s="3" t="s">
        <v>7</v>
      </c>
      <c r="C8" s="4">
        <v>2000</v>
      </c>
      <c r="E8" s="35"/>
      <c r="F8" s="3" t="s">
        <v>87</v>
      </c>
      <c r="G8" s="32" t="s">
        <v>89</v>
      </c>
      <c r="I8" s="35"/>
      <c r="J8" s="3" t="s">
        <v>117</v>
      </c>
      <c r="K8" s="4">
        <v>2</v>
      </c>
      <c r="M8" s="3" t="s">
        <v>268</v>
      </c>
      <c r="P8" s="3" t="s">
        <v>282</v>
      </c>
      <c r="Q8" s="182">
        <v>0.05</v>
      </c>
      <c r="R8" s="93">
        <v>0.75</v>
      </c>
      <c r="X8" s="3" t="s">
        <v>313</v>
      </c>
      <c r="Y8" s="94">
        <v>5.5</v>
      </c>
    </row>
    <row r="9" spans="1:25" x14ac:dyDescent="0.25">
      <c r="A9" s="35"/>
      <c r="B9" s="3" t="s">
        <v>8</v>
      </c>
      <c r="C9" s="4">
        <v>1250</v>
      </c>
      <c r="E9" s="35" t="s">
        <v>90</v>
      </c>
      <c r="F9" s="3" t="s">
        <v>91</v>
      </c>
      <c r="G9" s="4">
        <v>3</v>
      </c>
      <c r="I9" s="35"/>
      <c r="J9" s="3" t="s">
        <v>118</v>
      </c>
      <c r="K9" s="4">
        <v>1</v>
      </c>
      <c r="X9" s="3" t="s">
        <v>314</v>
      </c>
      <c r="Y9" s="94">
        <v>3.5</v>
      </c>
    </row>
    <row r="10" spans="1:25" x14ac:dyDescent="0.25">
      <c r="A10" s="35"/>
      <c r="B10" s="3" t="s">
        <v>9</v>
      </c>
      <c r="C10" s="4">
        <v>600</v>
      </c>
      <c r="E10" s="35"/>
      <c r="F10" s="3" t="s">
        <v>92</v>
      </c>
      <c r="G10" s="4">
        <v>5</v>
      </c>
      <c r="I10" s="35"/>
      <c r="J10" s="3" t="s">
        <v>119</v>
      </c>
      <c r="K10" s="4">
        <v>1</v>
      </c>
      <c r="X10" s="3" t="s">
        <v>316</v>
      </c>
      <c r="Y10" s="94">
        <v>7.5</v>
      </c>
    </row>
    <row r="11" spans="1:25" x14ac:dyDescent="0.25">
      <c r="A11" s="35"/>
      <c r="B11" s="3" t="s">
        <v>10</v>
      </c>
      <c r="C11" s="4">
        <v>1300</v>
      </c>
      <c r="E11" s="35"/>
      <c r="F11" s="3" t="s">
        <v>93</v>
      </c>
      <c r="G11" s="4">
        <v>5</v>
      </c>
      <c r="I11" s="35" t="s">
        <v>122</v>
      </c>
      <c r="J11" s="3" t="s">
        <v>120</v>
      </c>
      <c r="K11" s="4">
        <v>1</v>
      </c>
      <c r="X11" s="3" t="s">
        <v>317</v>
      </c>
      <c r="Y11" s="191">
        <v>5</v>
      </c>
    </row>
    <row r="12" spans="1:25" x14ac:dyDescent="0.25">
      <c r="A12" s="35" t="s">
        <v>11</v>
      </c>
      <c r="B12" s="3" t="s">
        <v>12</v>
      </c>
      <c r="C12" s="4">
        <v>1850</v>
      </c>
      <c r="E12" s="35"/>
      <c r="F12" s="3" t="s">
        <v>94</v>
      </c>
      <c r="G12" s="4">
        <v>5</v>
      </c>
      <c r="I12" s="35"/>
      <c r="J12" s="3" t="s">
        <v>121</v>
      </c>
      <c r="K12" s="4">
        <v>1</v>
      </c>
      <c r="X12" s="3" t="s">
        <v>315</v>
      </c>
      <c r="Y12" s="191">
        <v>3</v>
      </c>
    </row>
    <row r="13" spans="1:25" x14ac:dyDescent="0.25">
      <c r="A13" s="35"/>
      <c r="B13" s="3" t="s">
        <v>13</v>
      </c>
      <c r="C13" s="4">
        <v>2000</v>
      </c>
      <c r="E13" s="35"/>
      <c r="F13" s="3" t="s">
        <v>95</v>
      </c>
      <c r="G13" s="4">
        <v>5</v>
      </c>
      <c r="I13" s="35" t="s">
        <v>123</v>
      </c>
      <c r="J13" s="3" t="s">
        <v>123</v>
      </c>
      <c r="K13" s="4">
        <v>1</v>
      </c>
      <c r="Q13" s="4"/>
      <c r="R13" s="4"/>
      <c r="S13" s="4">
        <v>4</v>
      </c>
      <c r="T13" s="4">
        <v>5</v>
      </c>
      <c r="U13" s="4">
        <v>6</v>
      </c>
      <c r="V13" s="4">
        <v>7</v>
      </c>
      <c r="X13" s="3" t="s">
        <v>318</v>
      </c>
      <c r="Y13" s="94">
        <v>7.5</v>
      </c>
    </row>
    <row r="14" spans="1:25" x14ac:dyDescent="0.25">
      <c r="A14" s="35"/>
      <c r="B14" s="3" t="s">
        <v>14</v>
      </c>
      <c r="C14" s="4">
        <v>2100</v>
      </c>
      <c r="E14" s="35"/>
      <c r="F14" s="3" t="s">
        <v>96</v>
      </c>
      <c r="G14" s="33">
        <v>7.5</v>
      </c>
      <c r="S14" s="219" t="s">
        <v>293</v>
      </c>
      <c r="T14" s="220"/>
      <c r="U14" s="219" t="s">
        <v>294</v>
      </c>
      <c r="V14" s="221"/>
      <c r="X14" s="3" t="s">
        <v>319</v>
      </c>
      <c r="Y14" s="191">
        <v>5</v>
      </c>
    </row>
    <row r="15" spans="1:25" x14ac:dyDescent="0.25">
      <c r="A15" s="35"/>
      <c r="B15" s="3" t="s">
        <v>15</v>
      </c>
      <c r="C15" s="4">
        <v>1300</v>
      </c>
      <c r="E15" s="35"/>
      <c r="F15" s="3" t="s">
        <v>97</v>
      </c>
      <c r="G15" s="33">
        <v>7.5</v>
      </c>
      <c r="J15" s="34" t="s">
        <v>269</v>
      </c>
      <c r="K15" s="34" t="s">
        <v>165</v>
      </c>
      <c r="L15" s="34" t="s">
        <v>166</v>
      </c>
      <c r="M15" s="34" t="s">
        <v>167</v>
      </c>
      <c r="N15" s="34" t="s">
        <v>168</v>
      </c>
      <c r="P15" s="3" t="s">
        <v>291</v>
      </c>
      <c r="Q15" s="3" t="s">
        <v>292</v>
      </c>
      <c r="R15" s="3" t="s">
        <v>297</v>
      </c>
      <c r="S15" s="3" t="s">
        <v>301</v>
      </c>
      <c r="T15" s="3" t="s">
        <v>243</v>
      </c>
      <c r="U15" s="3" t="s">
        <v>295</v>
      </c>
      <c r="V15" s="3" t="s">
        <v>230</v>
      </c>
      <c r="X15" s="3" t="s">
        <v>320</v>
      </c>
      <c r="Y15" s="94">
        <v>3.5</v>
      </c>
    </row>
    <row r="16" spans="1:25" x14ac:dyDescent="0.25">
      <c r="A16" s="35"/>
      <c r="B16" s="3" t="s">
        <v>16</v>
      </c>
      <c r="C16" s="4">
        <v>1900</v>
      </c>
      <c r="E16" s="35"/>
      <c r="F16" s="3" t="s">
        <v>98</v>
      </c>
      <c r="G16" s="4">
        <v>6</v>
      </c>
      <c r="J16" s="3" t="s">
        <v>273</v>
      </c>
      <c r="K16" s="33">
        <v>1.2</v>
      </c>
      <c r="L16" s="33">
        <v>1.4</v>
      </c>
      <c r="M16" s="93">
        <v>1.25</v>
      </c>
      <c r="N16" s="93">
        <v>1.25</v>
      </c>
      <c r="P16" s="3" t="s">
        <v>287</v>
      </c>
      <c r="Q16" s="93">
        <v>0.1</v>
      </c>
      <c r="R16" s="93">
        <v>0.4</v>
      </c>
      <c r="S16" s="93">
        <v>1</v>
      </c>
      <c r="T16" s="93">
        <v>1.5</v>
      </c>
      <c r="U16" s="93">
        <v>1</v>
      </c>
      <c r="V16" s="93">
        <v>1.5</v>
      </c>
      <c r="X16" s="3" t="s">
        <v>321</v>
      </c>
      <c r="Y16" s="94">
        <v>7.5</v>
      </c>
    </row>
    <row r="17" spans="1:25" x14ac:dyDescent="0.25">
      <c r="A17" s="35"/>
      <c r="B17" s="3" t="s">
        <v>17</v>
      </c>
      <c r="C17" s="4">
        <v>1600</v>
      </c>
      <c r="E17" s="35"/>
      <c r="F17" s="3" t="s">
        <v>99</v>
      </c>
      <c r="G17" s="4">
        <v>6</v>
      </c>
      <c r="J17" s="3" t="s">
        <v>272</v>
      </c>
      <c r="K17" s="33">
        <v>1.1000000000000001</v>
      </c>
      <c r="L17" s="33">
        <v>1.2</v>
      </c>
      <c r="M17" s="93">
        <v>1.1499999999999999</v>
      </c>
      <c r="N17" s="93">
        <v>1.1499999999999999</v>
      </c>
      <c r="P17" s="3" t="s">
        <v>288</v>
      </c>
      <c r="Q17" s="93">
        <v>0.1</v>
      </c>
      <c r="R17" s="93">
        <v>0.5</v>
      </c>
      <c r="S17" s="93">
        <v>1</v>
      </c>
      <c r="T17" s="93">
        <v>1.5</v>
      </c>
      <c r="U17" s="93">
        <v>1</v>
      </c>
      <c r="V17" s="93">
        <v>1.5</v>
      </c>
      <c r="X17" s="3" t="s">
        <v>322</v>
      </c>
      <c r="Y17" s="94">
        <v>6.5</v>
      </c>
    </row>
    <row r="18" spans="1:25" x14ac:dyDescent="0.25">
      <c r="A18" s="35"/>
      <c r="B18" s="3" t="s">
        <v>18</v>
      </c>
      <c r="C18" s="4">
        <v>1600</v>
      </c>
      <c r="E18" s="35" t="s">
        <v>100</v>
      </c>
      <c r="F18" s="3" t="s">
        <v>101</v>
      </c>
      <c r="G18" s="4">
        <v>5</v>
      </c>
      <c r="J18" s="3" t="s">
        <v>271</v>
      </c>
      <c r="K18" s="33">
        <v>1</v>
      </c>
      <c r="L18" s="33">
        <v>1</v>
      </c>
      <c r="M18" s="33">
        <v>1</v>
      </c>
      <c r="N18" s="33">
        <v>1</v>
      </c>
      <c r="P18" s="3" t="s">
        <v>289</v>
      </c>
      <c r="Q18" s="93">
        <v>0.15</v>
      </c>
      <c r="R18" s="93">
        <v>0.7</v>
      </c>
      <c r="S18" s="93">
        <v>1.1000000000000001</v>
      </c>
      <c r="T18" s="93">
        <v>1.75</v>
      </c>
      <c r="U18" s="93">
        <v>1.1000000000000001</v>
      </c>
      <c r="V18" s="93">
        <v>1.75</v>
      </c>
      <c r="X18" s="3" t="s">
        <v>323</v>
      </c>
      <c r="Y18" s="191">
        <v>6</v>
      </c>
    </row>
    <row r="19" spans="1:25" x14ac:dyDescent="0.25">
      <c r="A19" s="35"/>
      <c r="B19" s="3" t="s">
        <v>19</v>
      </c>
      <c r="C19" s="4">
        <v>2000</v>
      </c>
      <c r="E19" s="35"/>
      <c r="F19" s="3" t="s">
        <v>102</v>
      </c>
      <c r="G19" s="4" t="s">
        <v>107</v>
      </c>
      <c r="J19" s="3" t="s">
        <v>270</v>
      </c>
      <c r="K19" s="33">
        <v>0.8</v>
      </c>
      <c r="L19" s="33">
        <v>0.8</v>
      </c>
      <c r="M19" s="33">
        <v>0.8</v>
      </c>
      <c r="N19" s="33">
        <v>0.8</v>
      </c>
      <c r="P19" s="3" t="s">
        <v>290</v>
      </c>
      <c r="Q19" s="93">
        <v>0.15</v>
      </c>
      <c r="R19" s="93">
        <v>1</v>
      </c>
      <c r="S19" s="190">
        <v>1.1000000000000001</v>
      </c>
      <c r="T19" s="190">
        <v>1.75</v>
      </c>
      <c r="U19" s="189">
        <v>1.3</v>
      </c>
      <c r="V19" s="189">
        <v>2.25</v>
      </c>
      <c r="X19" s="3" t="s">
        <v>324</v>
      </c>
      <c r="Y19" s="191">
        <v>6</v>
      </c>
    </row>
    <row r="20" spans="1:25" x14ac:dyDescent="0.25">
      <c r="A20" s="35" t="s">
        <v>20</v>
      </c>
      <c r="B20" s="3" t="s">
        <v>21</v>
      </c>
      <c r="C20" s="4">
        <v>2400</v>
      </c>
      <c r="E20" s="35"/>
      <c r="F20" s="3" t="s">
        <v>103</v>
      </c>
      <c r="G20" s="4">
        <v>2</v>
      </c>
      <c r="Q20" s="93"/>
      <c r="R20" s="93"/>
      <c r="S20" s="93"/>
      <c r="T20" s="93"/>
      <c r="U20" s="93"/>
      <c r="V20" s="188" t="s">
        <v>302</v>
      </c>
      <c r="Y20" s="191"/>
    </row>
    <row r="21" spans="1:25" x14ac:dyDescent="0.25">
      <c r="A21" s="35"/>
      <c r="B21" s="3" t="s">
        <v>22</v>
      </c>
      <c r="C21" s="4">
        <v>2500</v>
      </c>
      <c r="E21" s="35" t="s">
        <v>104</v>
      </c>
      <c r="F21" s="3" t="s">
        <v>105</v>
      </c>
      <c r="G21" s="4">
        <v>5</v>
      </c>
      <c r="J21" s="34" t="s">
        <v>173</v>
      </c>
      <c r="K21" s="34" t="s">
        <v>184</v>
      </c>
      <c r="M21" s="185" t="s">
        <v>173</v>
      </c>
      <c r="N21" s="185" t="s">
        <v>332</v>
      </c>
      <c r="Y21" s="191"/>
    </row>
    <row r="22" spans="1:25" x14ac:dyDescent="0.25">
      <c r="A22" s="35"/>
      <c r="B22" s="3" t="s">
        <v>23</v>
      </c>
      <c r="C22" s="4">
        <v>1750</v>
      </c>
      <c r="E22" s="35"/>
      <c r="F22" s="3" t="s">
        <v>106</v>
      </c>
      <c r="G22" s="4">
        <v>5</v>
      </c>
      <c r="J22" s="3" t="s">
        <v>183</v>
      </c>
      <c r="K22" s="4">
        <v>1</v>
      </c>
      <c r="M22" s="184" t="s">
        <v>178</v>
      </c>
      <c r="N22" s="181">
        <v>1</v>
      </c>
      <c r="Y22" s="191"/>
    </row>
    <row r="23" spans="1:25" x14ac:dyDescent="0.25">
      <c r="A23" s="35"/>
      <c r="B23" s="3" t="s">
        <v>24</v>
      </c>
      <c r="C23" s="4">
        <v>600</v>
      </c>
      <c r="E23" s="35" t="s">
        <v>108</v>
      </c>
      <c r="F23" s="3" t="s">
        <v>108</v>
      </c>
      <c r="G23" s="3" t="s">
        <v>109</v>
      </c>
      <c r="J23" s="3" t="s">
        <v>182</v>
      </c>
      <c r="K23" s="4">
        <v>2</v>
      </c>
      <c r="M23" s="183" t="s">
        <v>177</v>
      </c>
      <c r="N23" s="180">
        <v>1</v>
      </c>
      <c r="Y23" s="191"/>
    </row>
    <row r="24" spans="1:25" x14ac:dyDescent="0.25">
      <c r="A24" s="35"/>
      <c r="B24" s="3" t="s">
        <v>25</v>
      </c>
      <c r="C24" s="4">
        <v>1800</v>
      </c>
      <c r="J24" s="3" t="s">
        <v>179</v>
      </c>
      <c r="K24" s="4">
        <v>3</v>
      </c>
      <c r="M24" s="183" t="s">
        <v>174</v>
      </c>
      <c r="N24" s="180">
        <v>2</v>
      </c>
      <c r="P24" s="192" t="s">
        <v>332</v>
      </c>
      <c r="Q24" s="3" t="s">
        <v>326</v>
      </c>
      <c r="R24" s="3" t="s">
        <v>327</v>
      </c>
      <c r="Y24" s="191"/>
    </row>
    <row r="25" spans="1:25" x14ac:dyDescent="0.25">
      <c r="A25" s="35"/>
      <c r="B25" s="3" t="s">
        <v>26</v>
      </c>
      <c r="C25" s="4">
        <v>900</v>
      </c>
      <c r="F25" s="34" t="s">
        <v>184</v>
      </c>
      <c r="G25" s="34" t="s">
        <v>185</v>
      </c>
      <c r="J25" s="3" t="s">
        <v>178</v>
      </c>
      <c r="K25" s="4">
        <v>4</v>
      </c>
      <c r="M25" s="184" t="s">
        <v>176</v>
      </c>
      <c r="N25" s="181">
        <v>2</v>
      </c>
      <c r="P25" s="4">
        <v>1</v>
      </c>
      <c r="Q25" s="93">
        <v>0.35</v>
      </c>
      <c r="R25" s="3" t="s">
        <v>328</v>
      </c>
    </row>
    <row r="26" spans="1:25" x14ac:dyDescent="0.25">
      <c r="A26" s="35"/>
      <c r="B26" s="3" t="s">
        <v>27</v>
      </c>
      <c r="C26" s="4">
        <v>1700</v>
      </c>
      <c r="F26" s="4">
        <v>1</v>
      </c>
      <c r="G26" s="32">
        <v>0.25</v>
      </c>
      <c r="J26" s="3" t="s">
        <v>177</v>
      </c>
      <c r="K26" s="4">
        <v>4</v>
      </c>
      <c r="M26" s="184" t="s">
        <v>181</v>
      </c>
      <c r="N26" s="181">
        <v>2</v>
      </c>
      <c r="P26" s="4">
        <v>2</v>
      </c>
      <c r="Q26" s="93">
        <v>0.3</v>
      </c>
      <c r="R26" s="3" t="s">
        <v>329</v>
      </c>
    </row>
    <row r="27" spans="1:25" x14ac:dyDescent="0.25">
      <c r="A27" s="35"/>
      <c r="B27" s="3" t="s">
        <v>28</v>
      </c>
      <c r="C27" s="4">
        <v>1300</v>
      </c>
      <c r="F27" s="4">
        <v>2</v>
      </c>
      <c r="G27" s="32">
        <v>0.5</v>
      </c>
      <c r="J27" s="3" t="s">
        <v>181</v>
      </c>
      <c r="K27" s="4">
        <v>4</v>
      </c>
      <c r="M27" s="183" t="s">
        <v>298</v>
      </c>
      <c r="N27" s="180">
        <v>2</v>
      </c>
      <c r="P27" s="4">
        <v>3</v>
      </c>
      <c r="Q27" s="93">
        <v>0.25</v>
      </c>
      <c r="R27" s="3" t="s">
        <v>330</v>
      </c>
    </row>
    <row r="28" spans="1:25" x14ac:dyDescent="0.25">
      <c r="A28" s="35"/>
      <c r="B28" s="3" t="s">
        <v>29</v>
      </c>
      <c r="C28" s="4">
        <v>1800</v>
      </c>
      <c r="F28" s="4">
        <v>3</v>
      </c>
      <c r="G28" s="4">
        <v>1</v>
      </c>
      <c r="J28" s="3" t="s">
        <v>175</v>
      </c>
      <c r="K28" s="4">
        <v>4</v>
      </c>
      <c r="M28" s="183" t="s">
        <v>179</v>
      </c>
      <c r="N28" s="180">
        <v>3</v>
      </c>
      <c r="P28" s="4">
        <v>4</v>
      </c>
      <c r="Q28" s="93">
        <v>0.2</v>
      </c>
      <c r="R28" s="3" t="s">
        <v>331</v>
      </c>
    </row>
    <row r="29" spans="1:25" x14ac:dyDescent="0.25">
      <c r="A29" s="35" t="s">
        <v>30</v>
      </c>
      <c r="B29" s="3" t="s">
        <v>31</v>
      </c>
      <c r="C29" s="4">
        <v>600</v>
      </c>
      <c r="F29" s="4">
        <v>4</v>
      </c>
      <c r="G29" s="33">
        <v>1.5</v>
      </c>
      <c r="J29" s="3" t="s">
        <v>180</v>
      </c>
      <c r="K29" s="4">
        <v>4</v>
      </c>
      <c r="M29" s="183" t="s">
        <v>300</v>
      </c>
      <c r="N29" s="180">
        <v>3</v>
      </c>
    </row>
    <row r="30" spans="1:25" x14ac:dyDescent="0.25">
      <c r="A30" s="35"/>
      <c r="B30" s="3" t="s">
        <v>32</v>
      </c>
      <c r="C30" s="4">
        <v>1000</v>
      </c>
      <c r="F30" s="4">
        <v>5</v>
      </c>
      <c r="G30" s="4">
        <v>2</v>
      </c>
      <c r="J30" s="3" t="s">
        <v>176</v>
      </c>
      <c r="K30" s="4">
        <v>5</v>
      </c>
      <c r="M30" s="184" t="s">
        <v>299</v>
      </c>
      <c r="N30" s="181">
        <v>4</v>
      </c>
      <c r="P30" s="3" t="s">
        <v>336</v>
      </c>
      <c r="Q30" s="192" t="s">
        <v>350</v>
      </c>
    </row>
    <row r="31" spans="1:25" x14ac:dyDescent="0.25">
      <c r="A31" s="35"/>
      <c r="B31" s="3" t="s">
        <v>33</v>
      </c>
      <c r="C31" s="4">
        <v>700</v>
      </c>
      <c r="F31" s="4">
        <v>6</v>
      </c>
      <c r="G31" s="4">
        <v>3</v>
      </c>
      <c r="J31" s="3" t="s">
        <v>174</v>
      </c>
      <c r="K31" s="4">
        <v>5</v>
      </c>
      <c r="M31" s="186"/>
      <c r="N31" s="187"/>
      <c r="P31" s="3" t="s">
        <v>351</v>
      </c>
      <c r="Q31" s="4">
        <v>20</v>
      </c>
    </row>
    <row r="32" spans="1:25" x14ac:dyDescent="0.25">
      <c r="A32" s="35" t="s">
        <v>34</v>
      </c>
      <c r="B32" s="3" t="s">
        <v>35</v>
      </c>
      <c r="C32" s="4">
        <v>2800</v>
      </c>
      <c r="P32" s="3" t="s">
        <v>352</v>
      </c>
      <c r="Q32" s="4">
        <v>0</v>
      </c>
    </row>
    <row r="33" spans="1:17" x14ac:dyDescent="0.25">
      <c r="A33" s="35"/>
      <c r="B33" s="3" t="s">
        <v>36</v>
      </c>
      <c r="C33" s="4">
        <v>2600</v>
      </c>
      <c r="F33" s="34" t="s">
        <v>186</v>
      </c>
      <c r="G33" s="34" t="s">
        <v>170</v>
      </c>
      <c r="P33" s="3" t="s">
        <v>353</v>
      </c>
      <c r="Q33" s="4">
        <v>20</v>
      </c>
    </row>
    <row r="34" spans="1:17" x14ac:dyDescent="0.25">
      <c r="A34" s="35"/>
      <c r="B34" s="3" t="s">
        <v>37</v>
      </c>
      <c r="C34" s="4">
        <v>2300</v>
      </c>
      <c r="F34" s="3" t="s">
        <v>187</v>
      </c>
      <c r="G34" s="95">
        <v>1.3</v>
      </c>
      <c r="P34" s="3" t="s">
        <v>354</v>
      </c>
      <c r="Q34" s="4">
        <v>20</v>
      </c>
    </row>
    <row r="35" spans="1:17" x14ac:dyDescent="0.25">
      <c r="A35" s="35"/>
      <c r="B35" s="5" t="s">
        <v>39</v>
      </c>
      <c r="C35" s="4">
        <v>2700</v>
      </c>
      <c r="F35" s="3" t="s">
        <v>189</v>
      </c>
      <c r="G35" s="95">
        <v>1.2</v>
      </c>
      <c r="P35" s="3" t="s">
        <v>355</v>
      </c>
      <c r="Q35" s="4">
        <v>40</v>
      </c>
    </row>
    <row r="36" spans="1:17" x14ac:dyDescent="0.25">
      <c r="A36" s="35"/>
      <c r="B36" s="3" t="s">
        <v>38</v>
      </c>
      <c r="C36" s="4">
        <v>2700</v>
      </c>
      <c r="F36" s="3" t="s">
        <v>188</v>
      </c>
      <c r="G36" s="95">
        <v>1.1000000000000001</v>
      </c>
      <c r="P36" s="3" t="s">
        <v>356</v>
      </c>
      <c r="Q36" s="4">
        <v>100</v>
      </c>
    </row>
    <row r="37" spans="1:17" x14ac:dyDescent="0.25">
      <c r="A37" s="35"/>
      <c r="B37" s="3" t="s">
        <v>40</v>
      </c>
      <c r="C37" s="4">
        <v>2400</v>
      </c>
      <c r="F37" s="3" t="s">
        <v>190</v>
      </c>
      <c r="G37" s="33">
        <v>1</v>
      </c>
      <c r="Q37" s="4"/>
    </row>
    <row r="38" spans="1:17" x14ac:dyDescent="0.25">
      <c r="A38" s="35"/>
      <c r="B38" s="3" t="s">
        <v>41</v>
      </c>
      <c r="C38" s="4">
        <v>2800</v>
      </c>
      <c r="Q38" s="4"/>
    </row>
    <row r="39" spans="1:17" x14ac:dyDescent="0.25">
      <c r="A39" s="35"/>
      <c r="B39" s="3" t="s">
        <v>42</v>
      </c>
      <c r="C39" s="4">
        <v>2500</v>
      </c>
      <c r="F39" s="3" t="s">
        <v>191</v>
      </c>
      <c r="G39" s="3" t="s">
        <v>171</v>
      </c>
    </row>
    <row r="40" spans="1:17" x14ac:dyDescent="0.25">
      <c r="A40" s="35"/>
      <c r="B40" s="3" t="s">
        <v>43</v>
      </c>
      <c r="C40" s="4">
        <v>2000</v>
      </c>
      <c r="F40" s="3" t="s">
        <v>195</v>
      </c>
      <c r="G40" s="33">
        <v>0.9</v>
      </c>
    </row>
    <row r="41" spans="1:17" x14ac:dyDescent="0.25">
      <c r="A41" s="35" t="s">
        <v>44</v>
      </c>
      <c r="B41" s="3" t="s">
        <v>45</v>
      </c>
      <c r="C41" s="4">
        <v>1850</v>
      </c>
      <c r="F41" s="3" t="s">
        <v>196</v>
      </c>
      <c r="G41" s="33">
        <v>1</v>
      </c>
    </row>
    <row r="42" spans="1:17" x14ac:dyDescent="0.25">
      <c r="A42" s="35"/>
      <c r="B42" s="3" t="s">
        <v>46</v>
      </c>
      <c r="C42" s="4">
        <v>1800</v>
      </c>
      <c r="F42" s="3" t="s">
        <v>197</v>
      </c>
      <c r="G42" s="33">
        <v>1.2</v>
      </c>
    </row>
    <row r="43" spans="1:17" x14ac:dyDescent="0.25">
      <c r="A43" s="35"/>
      <c r="B43" s="3" t="s">
        <v>47</v>
      </c>
      <c r="C43" s="4">
        <v>1750</v>
      </c>
      <c r="F43" s="3" t="s">
        <v>198</v>
      </c>
      <c r="G43" s="33">
        <v>0.9</v>
      </c>
    </row>
    <row r="44" spans="1:17" x14ac:dyDescent="0.25">
      <c r="A44" s="35"/>
      <c r="B44" s="3" t="s">
        <v>48</v>
      </c>
      <c r="C44" s="4">
        <v>2100</v>
      </c>
      <c r="F44" s="3" t="s">
        <v>199</v>
      </c>
      <c r="G44" s="33">
        <v>1</v>
      </c>
    </row>
    <row r="45" spans="1:17" x14ac:dyDescent="0.25">
      <c r="A45" s="35"/>
      <c r="B45" s="3" t="s">
        <v>49</v>
      </c>
      <c r="C45" s="6">
        <v>2000</v>
      </c>
      <c r="F45" s="3" t="s">
        <v>200</v>
      </c>
      <c r="G45" s="33">
        <v>1.1000000000000001</v>
      </c>
    </row>
    <row r="46" spans="1:17" x14ac:dyDescent="0.25">
      <c r="A46" s="35"/>
      <c r="B46" s="3" t="s">
        <v>50</v>
      </c>
      <c r="C46" s="4">
        <v>850</v>
      </c>
      <c r="F46" s="3" t="s">
        <v>201</v>
      </c>
      <c r="G46" s="33">
        <v>0.8</v>
      </c>
    </row>
    <row r="47" spans="1:17" x14ac:dyDescent="0.25">
      <c r="A47" s="35"/>
      <c r="B47" s="3" t="s">
        <v>51</v>
      </c>
      <c r="C47" s="4">
        <v>2000</v>
      </c>
      <c r="F47" s="3" t="s">
        <v>202</v>
      </c>
      <c r="G47" s="33">
        <v>0.9</v>
      </c>
    </row>
    <row r="48" spans="1:17" x14ac:dyDescent="0.25">
      <c r="A48" s="35"/>
      <c r="B48" s="3" t="s">
        <v>52</v>
      </c>
      <c r="C48" s="4">
        <v>1900</v>
      </c>
      <c r="F48" s="3" t="s">
        <v>203</v>
      </c>
      <c r="G48" s="33">
        <v>1</v>
      </c>
    </row>
    <row r="49" spans="1:3" x14ac:dyDescent="0.25">
      <c r="A49" s="35" t="s">
        <v>53</v>
      </c>
      <c r="B49" s="3" t="s">
        <v>54</v>
      </c>
      <c r="C49" s="4">
        <v>2200</v>
      </c>
    </row>
    <row r="50" spans="1:3" x14ac:dyDescent="0.25">
      <c r="A50" s="35"/>
      <c r="B50" s="3" t="s">
        <v>56</v>
      </c>
      <c r="C50" s="4">
        <v>1200</v>
      </c>
    </row>
    <row r="51" spans="1:3" x14ac:dyDescent="0.25">
      <c r="A51" s="35"/>
      <c r="B51" s="3" t="s">
        <v>55</v>
      </c>
      <c r="C51" s="4">
        <v>2250</v>
      </c>
    </row>
    <row r="52" spans="1:3" x14ac:dyDescent="0.25">
      <c r="A52" s="35"/>
      <c r="B52" s="3" t="s">
        <v>57</v>
      </c>
      <c r="C52" s="4">
        <v>1750</v>
      </c>
    </row>
    <row r="53" spans="1:3" x14ac:dyDescent="0.25">
      <c r="A53" s="35"/>
      <c r="B53" s="3" t="s">
        <v>58</v>
      </c>
      <c r="C53" s="4">
        <v>2100</v>
      </c>
    </row>
    <row r="54" spans="1:3" x14ac:dyDescent="0.25">
      <c r="A54" s="35"/>
      <c r="B54" s="3" t="s">
        <v>59</v>
      </c>
      <c r="C54" s="4">
        <v>70</v>
      </c>
    </row>
    <row r="55" spans="1:3" x14ac:dyDescent="0.25">
      <c r="A55" s="35"/>
      <c r="B55" s="3" t="s">
        <v>60</v>
      </c>
      <c r="C55" s="4">
        <v>10</v>
      </c>
    </row>
    <row r="56" spans="1:3" x14ac:dyDescent="0.25">
      <c r="A56" s="35"/>
      <c r="B56" s="3" t="s">
        <v>61</v>
      </c>
      <c r="C56" s="4">
        <v>15</v>
      </c>
    </row>
    <row r="57" spans="1:3" x14ac:dyDescent="0.25">
      <c r="A57" s="35"/>
      <c r="B57" s="3" t="s">
        <v>62</v>
      </c>
      <c r="C57" s="4">
        <v>75</v>
      </c>
    </row>
    <row r="58" spans="1:3" x14ac:dyDescent="0.25">
      <c r="A58" s="35"/>
      <c r="B58" s="3" t="s">
        <v>63</v>
      </c>
      <c r="C58" s="4">
        <v>50</v>
      </c>
    </row>
    <row r="59" spans="1:3" x14ac:dyDescent="0.25">
      <c r="A59" s="35"/>
      <c r="B59" s="3" t="s">
        <v>64</v>
      </c>
      <c r="C59" s="4">
        <v>8</v>
      </c>
    </row>
  </sheetData>
  <pageMargins left="0.7" right="0.7" top="0.75" bottom="0.75" header="0.3" footer="0.3"/>
  <pageSetup orientation="portrait" r:id="rId1"/>
  <tableParts count="16">
    <tablePart r:id="rId2"/>
    <tablePart r:id="rId3"/>
    <tablePart r:id="rId4"/>
    <tablePart r:id="rId5"/>
    <tablePart r:id="rId6"/>
    <tablePart r:id="rId7"/>
    <tablePart r:id="rId8"/>
    <tablePart r:id="rId9"/>
    <tablePart r:id="rId10"/>
    <tablePart r:id="rId11"/>
    <tablePart r:id="rId12"/>
    <tablePart r:id="rId13"/>
    <tablePart r:id="rId14"/>
    <tablePart r:id="rId15"/>
    <tablePart r:id="rId16"/>
    <tablePart r:id="rId17"/>
  </tableParts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39997558519241921"/>
  </sheetPr>
  <dimension ref="B1:G18"/>
  <sheetViews>
    <sheetView showGridLines="0" zoomScaleNormal="100" workbookViewId="0">
      <selection activeCell="B16" sqref="B16"/>
    </sheetView>
  </sheetViews>
  <sheetFormatPr defaultColWidth="15" defaultRowHeight="22.5" x14ac:dyDescent="0.25"/>
  <cols>
    <col min="1" max="1" width="4.28515625" style="1" customWidth="1"/>
    <col min="2" max="2" width="48.42578125" style="1" customWidth="1"/>
    <col min="3" max="3" width="47.7109375" style="201" customWidth="1"/>
    <col min="4" max="4" width="21" style="1" customWidth="1"/>
    <col min="5" max="6" width="13.85546875" style="1" customWidth="1"/>
    <col min="7" max="16384" width="15" style="1"/>
  </cols>
  <sheetData>
    <row r="1" spans="2:7" ht="23.25" thickBot="1" x14ac:dyDescent="0.3"/>
    <row r="2" spans="2:7" ht="23.25" thickTop="1" x14ac:dyDescent="0.25">
      <c r="B2" s="98" t="s">
        <v>166</v>
      </c>
      <c r="C2" s="202" t="s">
        <v>271</v>
      </c>
      <c r="D2" s="196">
        <f>VLOOKUP(C2,Table4[],3,FALSE)</f>
        <v>1</v>
      </c>
      <c r="E2" s="56"/>
    </row>
    <row r="3" spans="2:7" x14ac:dyDescent="0.25">
      <c r="B3" s="161" t="s">
        <v>325</v>
      </c>
      <c r="C3" s="203" t="s">
        <v>299</v>
      </c>
      <c r="D3" s="197">
        <f>VLOOKUP(F3,Table15[],2,FALSE)</f>
        <v>0.2</v>
      </c>
      <c r="E3" s="56" t="s">
        <v>333</v>
      </c>
      <c r="F3" s="162">
        <f>VLOOKUP(C3,Table13[],2,FALSE)</f>
        <v>4</v>
      </c>
    </row>
    <row r="4" spans="2:7" x14ac:dyDescent="0.25">
      <c r="B4" s="173" t="s">
        <v>274</v>
      </c>
      <c r="C4" s="195"/>
      <c r="D4" s="96">
        <v>9.6999999999999993</v>
      </c>
      <c r="E4" s="56" t="s">
        <v>397</v>
      </c>
    </row>
    <row r="5" spans="2:7" ht="45" x14ac:dyDescent="0.25">
      <c r="B5" s="161" t="s">
        <v>284</v>
      </c>
      <c r="C5" s="203" t="s">
        <v>281</v>
      </c>
      <c r="D5" s="198">
        <f>F5*D4^G5</f>
        <v>0.35176998049408731</v>
      </c>
      <c r="E5" s="56" t="s">
        <v>377</v>
      </c>
      <c r="F5" s="204">
        <f>VLOOKUP(C5,Table11[],2,FALSE)</f>
        <v>6.4000000000000001E-2</v>
      </c>
      <c r="G5" s="204">
        <f>VLOOKUP(C5,Table11[],3,FALSE)</f>
        <v>0.75</v>
      </c>
    </row>
    <row r="6" spans="2:7" x14ac:dyDescent="0.25">
      <c r="B6" s="173" t="s">
        <v>285</v>
      </c>
      <c r="C6" s="195"/>
      <c r="D6" s="199">
        <v>2</v>
      </c>
      <c r="E6" s="56" t="s">
        <v>377</v>
      </c>
    </row>
    <row r="7" spans="2:7" x14ac:dyDescent="0.25">
      <c r="B7" s="173" t="s">
        <v>286</v>
      </c>
      <c r="C7" s="195"/>
      <c r="D7" s="200">
        <f>MIN(1.25*D5,D6)</f>
        <v>0.43971247561760912</v>
      </c>
      <c r="E7" s="56" t="s">
        <v>377</v>
      </c>
    </row>
    <row r="8" spans="2:7" x14ac:dyDescent="0.25">
      <c r="B8" s="173" t="s">
        <v>296</v>
      </c>
      <c r="C8" s="195"/>
      <c r="D8" s="87" t="s">
        <v>289</v>
      </c>
      <c r="E8" s="56"/>
    </row>
    <row r="9" spans="2:7" x14ac:dyDescent="0.25">
      <c r="B9" s="173" t="s">
        <v>292</v>
      </c>
      <c r="C9" s="195"/>
      <c r="D9" s="91">
        <f>VLOOKUP(D8,Table12[],2,FALSE)</f>
        <v>0.15</v>
      </c>
      <c r="E9" s="56"/>
    </row>
    <row r="10" spans="2:7" x14ac:dyDescent="0.25">
      <c r="B10" s="173" t="s">
        <v>297</v>
      </c>
      <c r="C10" s="195"/>
      <c r="D10" s="91">
        <f>VLOOKUP(D8,Table12[],3,FALSE)</f>
        <v>0.7</v>
      </c>
      <c r="E10" s="56"/>
    </row>
    <row r="11" spans="2:7" x14ac:dyDescent="0.25">
      <c r="B11" s="173" t="s">
        <v>301</v>
      </c>
      <c r="C11" s="195"/>
      <c r="D11" s="91">
        <f>IF(OR(F3=1,F3=2),VLOOKUP(D8,Table12[],4,FALSE),IF(OR(F3=3,F3=4),VLOOKUP(D8,Table12[],6,FALSE)))</f>
        <v>1.1000000000000001</v>
      </c>
      <c r="E11" s="56"/>
    </row>
    <row r="12" spans="2:7" x14ac:dyDescent="0.25">
      <c r="B12" s="173" t="s">
        <v>243</v>
      </c>
      <c r="C12" s="195"/>
      <c r="D12" s="91">
        <f>IF(OR(F3=1,F3=2),VLOOKUP(D8,Table12[],5,FALSE),IF(OR(F3=3,F3=4),VLOOKUP(D8,Table12[],7,FALSE)))</f>
        <v>1.75</v>
      </c>
      <c r="E12" s="56"/>
    </row>
    <row r="13" spans="2:7" x14ac:dyDescent="0.25">
      <c r="B13" s="173" t="s">
        <v>303</v>
      </c>
      <c r="C13" s="195"/>
      <c r="D13" s="91">
        <f>IF(AND(0&lt;D7,D7&lt;D9),(D11+(D12-D11+1)*(D7/D9)),IF(AND(D9&lt;=D7,D7&lt;=D10),(D12+1),IF(D10&lt;D7,(D12+1)*(D10/D7))))</f>
        <v>2.75</v>
      </c>
      <c r="E13" s="56"/>
    </row>
    <row r="14" spans="2:7" x14ac:dyDescent="0.25">
      <c r="B14" s="173" t="s">
        <v>304</v>
      </c>
      <c r="C14" s="195"/>
      <c r="D14" s="144">
        <f>IF(OR(F3=1,F3=2),G14,F14)</f>
        <v>1</v>
      </c>
      <c r="F14" s="205">
        <f>IF(D7&lt;D10,1,IF(AND(D10&lt;=D7,D7&lt;=4),(1+0.4*(D7-D10)/(4-D10)),IF(4&lt;D7,1.4)))</f>
        <v>1</v>
      </c>
      <c r="G14" s="206">
        <f>IF(D7&lt;D10,1,IF(AND(D10&lt;=D7,D7&lt;=4),(1+0.7*(D7-D10)/(4-D10)),IF(4&lt;D7,1.7)))</f>
        <v>1</v>
      </c>
    </row>
    <row r="15" spans="2:7" x14ac:dyDescent="0.25">
      <c r="B15" s="173" t="s">
        <v>305</v>
      </c>
      <c r="C15" s="195"/>
      <c r="D15" s="91">
        <f>D13*F14</f>
        <v>2.75</v>
      </c>
      <c r="E15" s="56"/>
    </row>
    <row r="16" spans="2:7" ht="23.25" thickBot="1" x14ac:dyDescent="0.3">
      <c r="B16" s="207" t="s">
        <v>400</v>
      </c>
      <c r="C16" s="208" t="s">
        <v>319</v>
      </c>
      <c r="D16" s="209">
        <f>VLOOKUP(C16,Table14[],2,FALSE)</f>
        <v>5</v>
      </c>
      <c r="E16" s="56"/>
    </row>
    <row r="17" spans="2:6" ht="23.25" thickBot="1" x14ac:dyDescent="0.3">
      <c r="B17" s="210" t="s">
        <v>398</v>
      </c>
      <c r="C17" s="211"/>
      <c r="D17" s="212">
        <f>MAX( D2*D3*D15/D16, 0.12*D3*D2 )</f>
        <v>0.11000000000000001</v>
      </c>
      <c r="F17" s="56"/>
    </row>
    <row r="18" spans="2:6" ht="23.25" thickTop="1" x14ac:dyDescent="0.25"/>
  </sheetData>
  <mergeCells count="12">
    <mergeCell ref="B17:C17"/>
    <mergeCell ref="B10:C10"/>
    <mergeCell ref="B11:C11"/>
    <mergeCell ref="B12:C12"/>
    <mergeCell ref="B13:C13"/>
    <mergeCell ref="B14:C14"/>
    <mergeCell ref="B15:C15"/>
    <mergeCell ref="B4:C4"/>
    <mergeCell ref="B6:C6"/>
    <mergeCell ref="B7:C7"/>
    <mergeCell ref="B9:C9"/>
    <mergeCell ref="B8:C8"/>
  </mergeCells>
  <pageMargins left="0.7" right="0.7" top="0.75" bottom="0.75" header="0.3" footer="0.3"/>
  <pageSetup orientation="portrait" r:id="rId1"/>
  <legacyDrawing r:id="rId2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>
          <x14:formula1>
            <xm:f>جداول!$J$16:$J$19</xm:f>
          </x14:formula1>
          <xm:sqref>C2</xm:sqref>
        </x14:dataValidation>
        <x14:dataValidation type="list" allowBlank="1" showInputMessage="1" showErrorMessage="1">
          <x14:formula1>
            <xm:f>جداول!$M$22:$M$30</xm:f>
          </x14:formula1>
          <xm:sqref>C3</xm:sqref>
        </x14:dataValidation>
        <x14:dataValidation type="list" allowBlank="1" showInputMessage="1" showErrorMessage="1">
          <x14:formula1>
            <xm:f>جداول!$P$3:$P$8</xm:f>
          </x14:formula1>
          <xm:sqref>C5</xm:sqref>
        </x14:dataValidation>
        <x14:dataValidation type="list" allowBlank="1" showInputMessage="1" showErrorMessage="1">
          <x14:formula1>
            <xm:f>جداول!$P$16:$P$19</xm:f>
          </x14:formula1>
          <xm:sqref>D8</xm:sqref>
        </x14:dataValidation>
        <x14:dataValidation type="list" allowBlank="1" showInputMessage="1" showErrorMessage="1">
          <x14:formula1>
            <xm:f>جداول!$X$3:$X$19</xm:f>
          </x14:formula1>
          <xm:sqref>C16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39997558519241921"/>
  </sheetPr>
  <dimension ref="B1:G18"/>
  <sheetViews>
    <sheetView showGridLines="0" zoomScaleNormal="100" workbookViewId="0">
      <selection activeCell="B17" sqref="B17:C17"/>
    </sheetView>
  </sheetViews>
  <sheetFormatPr defaultColWidth="15" defaultRowHeight="22.5" x14ac:dyDescent="0.25"/>
  <cols>
    <col min="1" max="1" width="4.28515625" style="1" customWidth="1"/>
    <col min="2" max="2" width="48.42578125" style="1" customWidth="1"/>
    <col min="3" max="3" width="47.7109375" style="201" customWidth="1"/>
    <col min="4" max="4" width="21" style="1" customWidth="1"/>
    <col min="5" max="6" width="13.85546875" style="1" customWidth="1"/>
    <col min="7" max="16384" width="15" style="1"/>
  </cols>
  <sheetData>
    <row r="1" spans="2:7" ht="23.25" thickBot="1" x14ac:dyDescent="0.3"/>
    <row r="2" spans="2:7" ht="23.25" thickTop="1" x14ac:dyDescent="0.25">
      <c r="B2" s="98" t="s">
        <v>166</v>
      </c>
      <c r="C2" s="202" t="s">
        <v>271</v>
      </c>
      <c r="D2" s="196">
        <f>VLOOKUP(C2,Table4[],3,FALSE)</f>
        <v>1</v>
      </c>
      <c r="E2" s="56"/>
    </row>
    <row r="3" spans="2:7" x14ac:dyDescent="0.25">
      <c r="B3" s="161" t="s">
        <v>325</v>
      </c>
      <c r="C3" s="203" t="s">
        <v>299</v>
      </c>
      <c r="D3" s="197">
        <f>VLOOKUP(F3,Table15[],2,FALSE)</f>
        <v>0.2</v>
      </c>
      <c r="E3" s="56" t="s">
        <v>333</v>
      </c>
      <c r="F3" s="162">
        <f>VLOOKUP(C3,Table13[],2,FALSE)</f>
        <v>4</v>
      </c>
    </row>
    <row r="4" spans="2:7" x14ac:dyDescent="0.25">
      <c r="B4" s="173" t="s">
        <v>274</v>
      </c>
      <c r="C4" s="195"/>
      <c r="D4" s="96">
        <v>9.6999999999999993</v>
      </c>
      <c r="E4" s="56" t="s">
        <v>397</v>
      </c>
    </row>
    <row r="5" spans="2:7" x14ac:dyDescent="0.25">
      <c r="B5" s="161" t="s">
        <v>284</v>
      </c>
      <c r="C5" s="203" t="s">
        <v>282</v>
      </c>
      <c r="D5" s="198">
        <f>F5*D4^G5</f>
        <v>0.27482029726100571</v>
      </c>
      <c r="E5" s="56" t="s">
        <v>377</v>
      </c>
      <c r="F5" s="204">
        <f>VLOOKUP(C5,Table11[],2,FALSE)</f>
        <v>0.05</v>
      </c>
      <c r="G5" s="204">
        <f>VLOOKUP(C5,Table11[],3,FALSE)</f>
        <v>0.75</v>
      </c>
    </row>
    <row r="6" spans="2:7" x14ac:dyDescent="0.25">
      <c r="B6" s="173" t="s">
        <v>285</v>
      </c>
      <c r="C6" s="195"/>
      <c r="D6" s="199">
        <v>2</v>
      </c>
      <c r="E6" s="56" t="s">
        <v>377</v>
      </c>
    </row>
    <row r="7" spans="2:7" x14ac:dyDescent="0.25">
      <c r="B7" s="173" t="s">
        <v>286</v>
      </c>
      <c r="C7" s="195"/>
      <c r="D7" s="200">
        <f>MIN(1.25*D5,D6)</f>
        <v>0.34352537157625712</v>
      </c>
      <c r="E7" s="56" t="s">
        <v>377</v>
      </c>
    </row>
    <row r="8" spans="2:7" x14ac:dyDescent="0.25">
      <c r="B8" s="173" t="s">
        <v>296</v>
      </c>
      <c r="C8" s="195"/>
      <c r="D8" s="87" t="s">
        <v>289</v>
      </c>
      <c r="E8" s="56"/>
    </row>
    <row r="9" spans="2:7" x14ac:dyDescent="0.25">
      <c r="B9" s="173" t="s">
        <v>292</v>
      </c>
      <c r="C9" s="195"/>
      <c r="D9" s="91">
        <f>VLOOKUP(D8,Table12[],2,FALSE)</f>
        <v>0.15</v>
      </c>
      <c r="E9" s="56"/>
    </row>
    <row r="10" spans="2:7" x14ac:dyDescent="0.25">
      <c r="B10" s="173" t="s">
        <v>297</v>
      </c>
      <c r="C10" s="195"/>
      <c r="D10" s="91">
        <f>VLOOKUP(D8,Table12[],3,FALSE)</f>
        <v>0.7</v>
      </c>
      <c r="E10" s="56"/>
    </row>
    <row r="11" spans="2:7" x14ac:dyDescent="0.25">
      <c r="B11" s="173" t="s">
        <v>301</v>
      </c>
      <c r="C11" s="195"/>
      <c r="D11" s="91">
        <f>IF(OR(F3=1,F3=2),VLOOKUP(D8,Table12[],4,FALSE),IF(OR(F3=3,F3=4),VLOOKUP(D8,Table12[],6,FALSE)))</f>
        <v>1.1000000000000001</v>
      </c>
      <c r="E11" s="56"/>
    </row>
    <row r="12" spans="2:7" x14ac:dyDescent="0.25">
      <c r="B12" s="173" t="s">
        <v>243</v>
      </c>
      <c r="C12" s="195"/>
      <c r="D12" s="91">
        <f>IF(OR(F3=1,F3=2),VLOOKUP(D8,Table12[],5,FALSE),IF(OR(F3=3,F3=4),VLOOKUP(D8,Table12[],7,FALSE)))</f>
        <v>1.75</v>
      </c>
      <c r="E12" s="56"/>
    </row>
    <row r="13" spans="2:7" x14ac:dyDescent="0.25">
      <c r="B13" s="173" t="s">
        <v>303</v>
      </c>
      <c r="C13" s="195"/>
      <c r="D13" s="91">
        <f>IF(AND(0&lt;D7,D7&lt;D9),(D11+(D12-D11+1)*(D7/D9)),IF(AND(D9&lt;=D7,D7&lt;=D10),(D12+1),IF(D10&lt;D7,(D12+1)*(D10/D7))))</f>
        <v>2.75</v>
      </c>
      <c r="E13" s="56"/>
    </row>
    <row r="14" spans="2:7" x14ac:dyDescent="0.25">
      <c r="B14" s="173" t="s">
        <v>304</v>
      </c>
      <c r="C14" s="195"/>
      <c r="D14" s="144">
        <f>IF(OR(F3=1,F3=2),G14,F14)</f>
        <v>1</v>
      </c>
      <c r="F14" s="205">
        <f>IF(D7&lt;D10,1,IF(AND(D10&lt;=D7,D7&lt;=4),(1+0.4*(D7-D10)/(4-D10)),IF(4&lt;D7,1.4)))</f>
        <v>1</v>
      </c>
      <c r="G14" s="206">
        <f>IF(D7&lt;D10,1,IF(AND(D10&lt;=D7,D7&lt;=4),(1+0.7*(D7-D10)/(4-D10)),IF(4&lt;D7,1.7)))</f>
        <v>1</v>
      </c>
    </row>
    <row r="15" spans="2:7" x14ac:dyDescent="0.25">
      <c r="B15" s="173" t="s">
        <v>305</v>
      </c>
      <c r="C15" s="195"/>
      <c r="D15" s="91">
        <f>D13*F14</f>
        <v>2.75</v>
      </c>
      <c r="E15" s="56"/>
    </row>
    <row r="16" spans="2:7" ht="45.75" thickBot="1" x14ac:dyDescent="0.3">
      <c r="B16" s="207" t="s">
        <v>401</v>
      </c>
      <c r="C16" s="208" t="s">
        <v>314</v>
      </c>
      <c r="D16" s="209">
        <f>VLOOKUP(C16,Table14[],2,FALSE)</f>
        <v>3.5</v>
      </c>
      <c r="E16" s="56"/>
    </row>
    <row r="17" spans="2:6" ht="23.25" thickBot="1" x14ac:dyDescent="0.3">
      <c r="B17" s="210" t="s">
        <v>399</v>
      </c>
      <c r="C17" s="211"/>
      <c r="D17" s="212">
        <f>MAX( D2*D3*D15/D16, 0.12*D3*D2 )</f>
        <v>0.15714285714285717</v>
      </c>
      <c r="F17" s="56"/>
    </row>
    <row r="18" spans="2:6" ht="23.25" thickTop="1" x14ac:dyDescent="0.25"/>
  </sheetData>
  <mergeCells count="12">
    <mergeCell ref="B11:C11"/>
    <mergeCell ref="B12:C12"/>
    <mergeCell ref="B13:C13"/>
    <mergeCell ref="B14:C14"/>
    <mergeCell ref="B15:C15"/>
    <mergeCell ref="B17:C17"/>
    <mergeCell ref="B4:C4"/>
    <mergeCell ref="B6:C6"/>
    <mergeCell ref="B7:C7"/>
    <mergeCell ref="B8:C8"/>
    <mergeCell ref="B9:C9"/>
    <mergeCell ref="B10:C10"/>
  </mergeCells>
  <pageMargins left="0.7" right="0.7" top="0.75" bottom="0.75" header="0.3" footer="0.3"/>
  <pageSetup orientation="portrait" r:id="rId1"/>
  <legacyDrawing r:id="rId2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>
          <x14:formula1>
            <xm:f>جداول!$X$3:$X$19</xm:f>
          </x14:formula1>
          <xm:sqref>C16</xm:sqref>
        </x14:dataValidation>
        <x14:dataValidation type="list" allowBlank="1" showInputMessage="1" showErrorMessage="1">
          <x14:formula1>
            <xm:f>جداول!$P$16:$P$19</xm:f>
          </x14:formula1>
          <xm:sqref>D8</xm:sqref>
        </x14:dataValidation>
        <x14:dataValidation type="list" allowBlank="1" showInputMessage="1" showErrorMessage="1">
          <x14:formula1>
            <xm:f>جداول!$P$3:$P$8</xm:f>
          </x14:formula1>
          <xm:sqref>C5</xm:sqref>
        </x14:dataValidation>
        <x14:dataValidation type="list" allowBlank="1" showInputMessage="1" showErrorMessage="1">
          <x14:formula1>
            <xm:f>جداول!$M$22:$M$30</xm:f>
          </x14:formula1>
          <xm:sqref>C3</xm:sqref>
        </x14:dataValidation>
        <x14:dataValidation type="list" allowBlank="1" showInputMessage="1" showErrorMessage="1">
          <x14:formula1>
            <xm:f>جداول!$J$16:$J$19</xm:f>
          </x14:formula1>
          <xm:sqref>C2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7" tint="0.39997558519241921"/>
  </sheetPr>
  <dimension ref="B1:J60"/>
  <sheetViews>
    <sheetView showGridLines="0" topLeftCell="A8" zoomScale="80" zoomScaleNormal="80" workbookViewId="0">
      <selection activeCell="F17" sqref="F17"/>
    </sheetView>
  </sheetViews>
  <sheetFormatPr defaultColWidth="15" defaultRowHeight="22.5" x14ac:dyDescent="0.25"/>
  <cols>
    <col min="1" max="1" width="4.140625" style="1" customWidth="1"/>
    <col min="2" max="2" width="7.140625" style="1" customWidth="1"/>
    <col min="3" max="3" width="48.42578125" style="1" customWidth="1"/>
    <col min="4" max="5" width="28.85546875" style="1" customWidth="1"/>
    <col min="6" max="6" width="21.28515625" style="1" bestFit="1" customWidth="1"/>
    <col min="7" max="7" width="15" style="1"/>
    <col min="8" max="9" width="20.5703125" style="1" customWidth="1"/>
    <col min="10" max="16384" width="15" style="1"/>
  </cols>
  <sheetData>
    <row r="1" spans="2:10" ht="23.25" thickBot="1" x14ac:dyDescent="0.3"/>
    <row r="2" spans="2:10" ht="23.25" thickTop="1" x14ac:dyDescent="0.25">
      <c r="B2" s="245" t="s">
        <v>128</v>
      </c>
      <c r="C2" s="81" t="s">
        <v>334</v>
      </c>
      <c r="D2" s="84">
        <v>0</v>
      </c>
      <c r="E2" s="56" t="s">
        <v>359</v>
      </c>
    </row>
    <row r="3" spans="2:10" x14ac:dyDescent="0.25">
      <c r="B3" s="246"/>
      <c r="C3" s="82" t="s">
        <v>335</v>
      </c>
      <c r="D3" s="85">
        <v>0</v>
      </c>
      <c r="E3" s="56" t="s">
        <v>359</v>
      </c>
    </row>
    <row r="4" spans="2:10" x14ac:dyDescent="0.25">
      <c r="B4" s="246"/>
      <c r="C4" s="82" t="s">
        <v>133</v>
      </c>
      <c r="D4" s="96">
        <v>0</v>
      </c>
      <c r="E4" s="56" t="s">
        <v>360</v>
      </c>
    </row>
    <row r="5" spans="2:10" ht="67.5" x14ac:dyDescent="0.25">
      <c r="B5" s="246"/>
      <c r="C5" s="82" t="s">
        <v>336</v>
      </c>
      <c r="D5" s="223" t="s">
        <v>354</v>
      </c>
      <c r="E5" s="56"/>
    </row>
    <row r="6" spans="2:10" x14ac:dyDescent="0.25">
      <c r="B6" s="246"/>
      <c r="C6" s="82" t="s">
        <v>337</v>
      </c>
      <c r="D6" s="143">
        <f>VLOOKUP(D5,Table16[],2,FALSE)</f>
        <v>20</v>
      </c>
      <c r="E6" s="56" t="s">
        <v>361</v>
      </c>
    </row>
    <row r="7" spans="2:10" ht="23.25" thickBot="1" x14ac:dyDescent="0.3">
      <c r="B7" s="246"/>
      <c r="C7" s="216" t="s">
        <v>338</v>
      </c>
      <c r="D7" s="222">
        <v>10</v>
      </c>
      <c r="E7" s="56" t="s">
        <v>361</v>
      </c>
    </row>
    <row r="8" spans="2:10" ht="24" thickTop="1" thickBot="1" x14ac:dyDescent="0.3">
      <c r="B8" s="246"/>
      <c r="C8" s="243"/>
      <c r="D8" s="213"/>
      <c r="E8" s="56"/>
      <c r="F8" s="56"/>
    </row>
    <row r="9" spans="2:10" ht="24" thickTop="1" thickBot="1" x14ac:dyDescent="0.3">
      <c r="B9" s="246"/>
      <c r="C9" s="244"/>
      <c r="D9" s="214" t="s">
        <v>339</v>
      </c>
      <c r="E9" s="215" t="s">
        <v>340</v>
      </c>
      <c r="F9" s="56"/>
      <c r="H9" s="260" t="s">
        <v>371</v>
      </c>
      <c r="I9" s="261">
        <f>SUM(I10:I14)</f>
        <v>421.94043999999997</v>
      </c>
      <c r="J9" s="97" t="s">
        <v>362</v>
      </c>
    </row>
    <row r="10" spans="2:10" ht="23.25" thickTop="1" x14ac:dyDescent="0.25">
      <c r="B10" s="246"/>
      <c r="C10" s="226" t="s">
        <v>341</v>
      </c>
      <c r="D10" s="227">
        <v>0</v>
      </c>
      <c r="E10" s="228">
        <v>0</v>
      </c>
      <c r="F10" s="56" t="s">
        <v>359</v>
      </c>
      <c r="H10" s="262" t="s">
        <v>369</v>
      </c>
      <c r="I10" s="266">
        <f>D59</f>
        <v>0</v>
      </c>
      <c r="J10" s="267" t="s">
        <v>362</v>
      </c>
    </row>
    <row r="11" spans="2:10" x14ac:dyDescent="0.25">
      <c r="B11" s="246"/>
      <c r="C11" s="229" t="s">
        <v>342</v>
      </c>
      <c r="D11" s="230">
        <v>0</v>
      </c>
      <c r="E11" s="231">
        <v>0</v>
      </c>
      <c r="F11" s="56" t="s">
        <v>139</v>
      </c>
      <c r="H11" s="262" t="s">
        <v>127</v>
      </c>
      <c r="I11" s="266">
        <f>D42</f>
        <v>141.04043999999996</v>
      </c>
      <c r="J11" s="267" t="s">
        <v>362</v>
      </c>
    </row>
    <row r="12" spans="2:10" ht="23.25" thickBot="1" x14ac:dyDescent="0.3">
      <c r="B12" s="246"/>
      <c r="C12" s="235" t="s">
        <v>343</v>
      </c>
      <c r="D12" s="236">
        <v>0</v>
      </c>
      <c r="E12" s="237">
        <v>0</v>
      </c>
      <c r="F12" s="56" t="s">
        <v>139</v>
      </c>
      <c r="H12" s="262" t="s">
        <v>372</v>
      </c>
      <c r="I12" s="263">
        <v>0</v>
      </c>
      <c r="J12" s="267" t="s">
        <v>362</v>
      </c>
    </row>
    <row r="13" spans="2:10" x14ac:dyDescent="0.25">
      <c r="B13" s="246"/>
      <c r="C13" s="240" t="s">
        <v>344</v>
      </c>
      <c r="D13" s="241">
        <v>0</v>
      </c>
      <c r="E13" s="242">
        <v>0</v>
      </c>
      <c r="F13" s="56" t="s">
        <v>359</v>
      </c>
      <c r="H13" s="262" t="s">
        <v>373</v>
      </c>
      <c r="I13" s="263">
        <v>141.13999999999999</v>
      </c>
      <c r="J13" s="267" t="s">
        <v>362</v>
      </c>
    </row>
    <row r="14" spans="2:10" ht="23.25" thickBot="1" x14ac:dyDescent="0.3">
      <c r="B14" s="246"/>
      <c r="C14" s="229" t="s">
        <v>345</v>
      </c>
      <c r="D14" s="230">
        <v>0</v>
      </c>
      <c r="E14" s="231">
        <v>0</v>
      </c>
      <c r="F14" s="56" t="s">
        <v>139</v>
      </c>
      <c r="H14" s="264" t="s">
        <v>374</v>
      </c>
      <c r="I14" s="265">
        <v>139.76</v>
      </c>
      <c r="J14" s="267" t="s">
        <v>362</v>
      </c>
    </row>
    <row r="15" spans="2:10" ht="24" thickTop="1" thickBot="1" x14ac:dyDescent="0.3">
      <c r="B15" s="246"/>
      <c r="C15" s="232" t="s">
        <v>346</v>
      </c>
      <c r="D15" s="233">
        <v>0</v>
      </c>
      <c r="E15" s="234">
        <v>0</v>
      </c>
      <c r="F15" s="56" t="s">
        <v>139</v>
      </c>
    </row>
    <row r="16" spans="2:10" x14ac:dyDescent="0.25">
      <c r="B16" s="246"/>
      <c r="C16" s="238" t="s">
        <v>347</v>
      </c>
      <c r="D16" s="239">
        <v>0</v>
      </c>
      <c r="E16" s="228">
        <v>0</v>
      </c>
      <c r="F16" s="56" t="s">
        <v>359</v>
      </c>
    </row>
    <row r="17" spans="2:6" x14ac:dyDescent="0.25">
      <c r="B17" s="246"/>
      <c r="C17" s="229" t="s">
        <v>348</v>
      </c>
      <c r="D17" s="230">
        <v>0</v>
      </c>
      <c r="E17" s="231">
        <v>0</v>
      </c>
      <c r="F17" s="56" t="s">
        <v>139</v>
      </c>
    </row>
    <row r="18" spans="2:6" ht="23.25" thickBot="1" x14ac:dyDescent="0.3">
      <c r="B18" s="246"/>
      <c r="C18" s="232" t="s">
        <v>349</v>
      </c>
      <c r="D18" s="233">
        <v>0</v>
      </c>
      <c r="E18" s="234">
        <v>0</v>
      </c>
      <c r="F18" s="56" t="s">
        <v>139</v>
      </c>
    </row>
    <row r="19" spans="2:6" ht="23.25" thickBot="1" x14ac:dyDescent="0.3">
      <c r="B19" s="247"/>
      <c r="C19" s="224" t="s">
        <v>357</v>
      </c>
      <c r="D19" s="225"/>
      <c r="E19" s="255">
        <f>( D2*D4 + D3*D4*D6/100 + D2*D4*D7/100 + 0.5*D10*D11*D12 + 0.5*D13*D14*D15 + 0.5*D16*D17*D18 + 0.5*E10*E11*E12 + 0.5*E13*E14*E15 + 0.5*E16*E17*E18 )/1000</f>
        <v>0</v>
      </c>
      <c r="F19" s="97" t="s">
        <v>362</v>
      </c>
    </row>
    <row r="20" spans="2:6" ht="24" thickTop="1" thickBot="1" x14ac:dyDescent="0.3"/>
    <row r="21" spans="2:6" ht="23.25" thickTop="1" x14ac:dyDescent="0.25">
      <c r="B21" s="245" t="s">
        <v>127</v>
      </c>
      <c r="C21" s="81" t="s">
        <v>334</v>
      </c>
      <c r="D21" s="84">
        <v>1000</v>
      </c>
      <c r="E21" s="56" t="s">
        <v>359</v>
      </c>
    </row>
    <row r="22" spans="2:6" x14ac:dyDescent="0.25">
      <c r="B22" s="246"/>
      <c r="C22" s="82" t="s">
        <v>335</v>
      </c>
      <c r="D22" s="85">
        <v>0</v>
      </c>
      <c r="E22" s="56" t="s">
        <v>359</v>
      </c>
    </row>
    <row r="23" spans="2:6" x14ac:dyDescent="0.25">
      <c r="B23" s="246"/>
      <c r="C23" s="82" t="s">
        <v>363</v>
      </c>
      <c r="D23" s="85">
        <v>0</v>
      </c>
      <c r="E23" s="56" t="s">
        <v>359</v>
      </c>
    </row>
    <row r="24" spans="2:6" x14ac:dyDescent="0.25">
      <c r="B24" s="246"/>
      <c r="C24" s="82" t="s">
        <v>133</v>
      </c>
      <c r="D24" s="96">
        <v>130.59299999999999</v>
      </c>
      <c r="E24" s="56" t="s">
        <v>360</v>
      </c>
    </row>
    <row r="25" spans="2:6" ht="67.5" x14ac:dyDescent="0.25">
      <c r="B25" s="246"/>
      <c r="C25" s="82" t="s">
        <v>336</v>
      </c>
      <c r="D25" s="223" t="s">
        <v>351</v>
      </c>
      <c r="E25" s="56"/>
    </row>
    <row r="26" spans="2:6" x14ac:dyDescent="0.25">
      <c r="B26" s="246"/>
      <c r="C26" s="82" t="s">
        <v>368</v>
      </c>
      <c r="D26" s="143">
        <f>VLOOKUP(D25,Table16[],2,FALSE)</f>
        <v>20</v>
      </c>
      <c r="E26" s="56" t="s">
        <v>361</v>
      </c>
    </row>
    <row r="27" spans="2:6" ht="23.25" thickBot="1" x14ac:dyDescent="0.3">
      <c r="B27" s="246"/>
      <c r="C27" s="216" t="s">
        <v>338</v>
      </c>
      <c r="D27" s="222">
        <v>8</v>
      </c>
      <c r="E27" s="56" t="s">
        <v>361</v>
      </c>
    </row>
    <row r="28" spans="2:6" ht="24" thickTop="1" thickBot="1" x14ac:dyDescent="0.3">
      <c r="B28" s="246"/>
      <c r="C28" s="243"/>
      <c r="D28" s="213"/>
      <c r="E28" s="56"/>
      <c r="F28" s="56"/>
    </row>
    <row r="29" spans="2:6" ht="24" thickTop="1" thickBot="1" x14ac:dyDescent="0.3">
      <c r="B29" s="246"/>
      <c r="C29" s="244"/>
      <c r="D29" s="248" t="s">
        <v>141</v>
      </c>
      <c r="E29" s="56"/>
    </row>
    <row r="30" spans="2:6" ht="23.25" thickTop="1" x14ac:dyDescent="0.25">
      <c r="B30" s="246"/>
      <c r="C30" s="226" t="s">
        <v>341</v>
      </c>
      <c r="D30" s="249">
        <v>0</v>
      </c>
      <c r="E30" s="56" t="s">
        <v>359</v>
      </c>
    </row>
    <row r="31" spans="2:6" x14ac:dyDescent="0.25">
      <c r="B31" s="246"/>
      <c r="C31" s="229" t="s">
        <v>342</v>
      </c>
      <c r="D31" s="250">
        <v>0</v>
      </c>
      <c r="E31" s="56" t="s">
        <v>139</v>
      </c>
    </row>
    <row r="32" spans="2:6" ht="23.25" thickBot="1" x14ac:dyDescent="0.3">
      <c r="B32" s="246"/>
      <c r="C32" s="235" t="s">
        <v>343</v>
      </c>
      <c r="D32" s="251">
        <v>0</v>
      </c>
      <c r="E32" s="56" t="s">
        <v>139</v>
      </c>
    </row>
    <row r="33" spans="2:5" x14ac:dyDescent="0.25">
      <c r="B33" s="246"/>
      <c r="C33" s="240" t="s">
        <v>344</v>
      </c>
      <c r="D33" s="252">
        <v>0</v>
      </c>
      <c r="E33" s="56" t="s">
        <v>359</v>
      </c>
    </row>
    <row r="34" spans="2:5" x14ac:dyDescent="0.25">
      <c r="B34" s="246"/>
      <c r="C34" s="229" t="s">
        <v>345</v>
      </c>
      <c r="D34" s="250">
        <v>0</v>
      </c>
      <c r="E34" s="56" t="s">
        <v>139</v>
      </c>
    </row>
    <row r="35" spans="2:5" ht="23.25" thickBot="1" x14ac:dyDescent="0.3">
      <c r="B35" s="246"/>
      <c r="C35" s="232" t="s">
        <v>346</v>
      </c>
      <c r="D35" s="253">
        <v>0</v>
      </c>
      <c r="E35" s="56" t="s">
        <v>139</v>
      </c>
    </row>
    <row r="36" spans="2:5" x14ac:dyDescent="0.25">
      <c r="B36" s="246"/>
      <c r="C36" s="240" t="s">
        <v>364</v>
      </c>
      <c r="D36" s="252">
        <v>0</v>
      </c>
      <c r="E36" s="56" t="s">
        <v>359</v>
      </c>
    </row>
    <row r="37" spans="2:5" x14ac:dyDescent="0.25">
      <c r="B37" s="246"/>
      <c r="C37" s="229" t="s">
        <v>365</v>
      </c>
      <c r="D37" s="250">
        <v>0</v>
      </c>
      <c r="E37" s="56" t="s">
        <v>139</v>
      </c>
    </row>
    <row r="38" spans="2:5" ht="23.25" thickBot="1" x14ac:dyDescent="0.3">
      <c r="B38" s="246"/>
      <c r="C38" s="232" t="s">
        <v>366</v>
      </c>
      <c r="D38" s="253">
        <v>0</v>
      </c>
      <c r="E38" s="56" t="s">
        <v>139</v>
      </c>
    </row>
    <row r="39" spans="2:5" x14ac:dyDescent="0.25">
      <c r="B39" s="246"/>
      <c r="C39" s="238" t="s">
        <v>347</v>
      </c>
      <c r="D39" s="254">
        <v>0</v>
      </c>
      <c r="E39" s="56" t="s">
        <v>359</v>
      </c>
    </row>
    <row r="40" spans="2:5" x14ac:dyDescent="0.25">
      <c r="B40" s="246"/>
      <c r="C40" s="229" t="s">
        <v>348</v>
      </c>
      <c r="D40" s="250">
        <v>0</v>
      </c>
      <c r="E40" s="56" t="s">
        <v>139</v>
      </c>
    </row>
    <row r="41" spans="2:5" ht="23.25" thickBot="1" x14ac:dyDescent="0.3">
      <c r="B41" s="246"/>
      <c r="C41" s="232" t="s">
        <v>349</v>
      </c>
      <c r="D41" s="253">
        <v>0</v>
      </c>
      <c r="E41" s="56" t="s">
        <v>139</v>
      </c>
    </row>
    <row r="42" spans="2:5" ht="23.25" thickBot="1" x14ac:dyDescent="0.3">
      <c r="B42" s="247"/>
      <c r="C42" s="256" t="s">
        <v>367</v>
      </c>
      <c r="D42" s="255">
        <f>( D21*D24 + D22*D24*D26/100 + D23*D24*D26/100 + D21*D24*D27/100 + 0.5*D30*D31*D32 + 0.5*D33*D34*D35 + 0.5*D36*D37*D38 + 0.5*D39*D40*D41 )/1000</f>
        <v>141.04043999999996</v>
      </c>
      <c r="E42" s="97" t="s">
        <v>362</v>
      </c>
    </row>
    <row r="43" spans="2:5" ht="24" thickTop="1" thickBot="1" x14ac:dyDescent="0.3"/>
    <row r="44" spans="2:5" ht="23.25" customHeight="1" thickTop="1" x14ac:dyDescent="0.25">
      <c r="B44" s="245" t="s">
        <v>369</v>
      </c>
      <c r="C44" s="81" t="s">
        <v>334</v>
      </c>
      <c r="D44" s="257">
        <f>D21</f>
        <v>1000</v>
      </c>
      <c r="E44" s="56" t="s">
        <v>359</v>
      </c>
    </row>
    <row r="45" spans="2:5" x14ac:dyDescent="0.25">
      <c r="B45" s="246"/>
      <c r="C45" s="82" t="s">
        <v>335</v>
      </c>
      <c r="D45" s="143">
        <f>D22</f>
        <v>0</v>
      </c>
      <c r="E45" s="56" t="s">
        <v>359</v>
      </c>
    </row>
    <row r="46" spans="2:5" x14ac:dyDescent="0.25">
      <c r="B46" s="246"/>
      <c r="C46" s="82" t="s">
        <v>363</v>
      </c>
      <c r="D46" s="143">
        <f>D23</f>
        <v>0</v>
      </c>
      <c r="E46" s="56" t="s">
        <v>359</v>
      </c>
    </row>
    <row r="47" spans="2:5" x14ac:dyDescent="0.25">
      <c r="B47" s="246"/>
      <c r="C47" s="82" t="s">
        <v>133</v>
      </c>
      <c r="D47" s="96">
        <v>0</v>
      </c>
      <c r="E47" s="56" t="s">
        <v>360</v>
      </c>
    </row>
    <row r="48" spans="2:5" ht="67.5" x14ac:dyDescent="0.25">
      <c r="B48" s="246"/>
      <c r="C48" s="82" t="s">
        <v>336</v>
      </c>
      <c r="D48" s="258" t="str">
        <f>D25</f>
        <v>بام ساختمان ها در مناطق با برف زیاد، سنگین و فوق سنگین</v>
      </c>
      <c r="E48" s="56"/>
    </row>
    <row r="49" spans="2:6" x14ac:dyDescent="0.25">
      <c r="B49" s="246"/>
      <c r="C49" s="82" t="s">
        <v>368</v>
      </c>
      <c r="D49" s="143">
        <f>D26</f>
        <v>20</v>
      </c>
      <c r="E49" s="56" t="s">
        <v>361</v>
      </c>
    </row>
    <row r="50" spans="2:6" ht="23.25" thickBot="1" x14ac:dyDescent="0.3">
      <c r="B50" s="246"/>
      <c r="C50" s="216" t="s">
        <v>338</v>
      </c>
      <c r="D50" s="259">
        <f>D27</f>
        <v>8</v>
      </c>
      <c r="E50" s="56" t="s">
        <v>361</v>
      </c>
    </row>
    <row r="51" spans="2:6" ht="24" thickTop="1" thickBot="1" x14ac:dyDescent="0.3">
      <c r="B51" s="246"/>
      <c r="C51" s="243"/>
      <c r="D51" s="213"/>
      <c r="E51" s="56"/>
      <c r="F51" s="56"/>
    </row>
    <row r="52" spans="2:6" ht="24" thickTop="1" thickBot="1" x14ac:dyDescent="0.3">
      <c r="B52" s="246"/>
      <c r="C52" s="244"/>
      <c r="D52" s="248" t="s">
        <v>141</v>
      </c>
      <c r="E52" s="56"/>
    </row>
    <row r="53" spans="2:6" ht="23.25" thickTop="1" x14ac:dyDescent="0.25">
      <c r="B53" s="246"/>
      <c r="C53" s="226" t="s">
        <v>341</v>
      </c>
      <c r="D53" s="249">
        <v>0</v>
      </c>
      <c r="E53" s="56" t="s">
        <v>359</v>
      </c>
    </row>
    <row r="54" spans="2:6" x14ac:dyDescent="0.25">
      <c r="B54" s="246"/>
      <c r="C54" s="229" t="s">
        <v>342</v>
      </c>
      <c r="D54" s="250">
        <v>0</v>
      </c>
      <c r="E54" s="56" t="s">
        <v>139</v>
      </c>
    </row>
    <row r="55" spans="2:6" ht="23.25" thickBot="1" x14ac:dyDescent="0.3">
      <c r="B55" s="246"/>
      <c r="C55" s="235" t="s">
        <v>343</v>
      </c>
      <c r="D55" s="251">
        <v>0</v>
      </c>
      <c r="E55" s="56" t="s">
        <v>139</v>
      </c>
    </row>
    <row r="56" spans="2:6" x14ac:dyDescent="0.25">
      <c r="B56" s="246"/>
      <c r="C56" s="240" t="s">
        <v>344</v>
      </c>
      <c r="D56" s="252">
        <v>0</v>
      </c>
      <c r="E56" s="56" t="s">
        <v>359</v>
      </c>
    </row>
    <row r="57" spans="2:6" x14ac:dyDescent="0.25">
      <c r="B57" s="246"/>
      <c r="C57" s="229" t="s">
        <v>345</v>
      </c>
      <c r="D57" s="250">
        <v>0</v>
      </c>
      <c r="E57" s="56" t="s">
        <v>139</v>
      </c>
    </row>
    <row r="58" spans="2:6" ht="23.25" thickBot="1" x14ac:dyDescent="0.3">
      <c r="B58" s="246"/>
      <c r="C58" s="232" t="s">
        <v>346</v>
      </c>
      <c r="D58" s="253">
        <v>0</v>
      </c>
      <c r="E58" s="56" t="s">
        <v>139</v>
      </c>
    </row>
    <row r="59" spans="2:6" ht="23.25" thickBot="1" x14ac:dyDescent="0.3">
      <c r="B59" s="247"/>
      <c r="C59" s="256" t="s">
        <v>370</v>
      </c>
      <c r="D59" s="255">
        <f>( D44*D47 + D45*D47*D49/100 + D46*D47*D49/100 + D44*D47*D50/100 + D53*D54*D55 + D56*D57*D58 )/1000</f>
        <v>0</v>
      </c>
      <c r="E59" s="97" t="s">
        <v>362</v>
      </c>
    </row>
    <row r="60" spans="2:6" ht="23.25" thickTop="1" x14ac:dyDescent="0.25"/>
  </sheetData>
  <mergeCells count="4">
    <mergeCell ref="C19:D19"/>
    <mergeCell ref="B2:B19"/>
    <mergeCell ref="B21:B42"/>
    <mergeCell ref="B44:B59"/>
  </mergeCells>
  <pageMargins left="0.7" right="0.7" top="0.75" bottom="0.75" header="0.3" footer="0.3"/>
  <pageSetup orientation="portrait" r:id="rId1"/>
  <legacy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جداول!$P$31:$P$36</xm:f>
          </x14:formula1>
          <xm:sqref>D5 D25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39997558519241921"/>
  </sheetPr>
  <dimension ref="B1:L19"/>
  <sheetViews>
    <sheetView showGridLines="0" zoomScaleNormal="100" workbookViewId="0">
      <selection activeCell="B7" sqref="B7"/>
    </sheetView>
  </sheetViews>
  <sheetFormatPr defaultColWidth="15" defaultRowHeight="22.5" x14ac:dyDescent="0.25"/>
  <cols>
    <col min="1" max="1" width="4.28515625" style="1" customWidth="1"/>
    <col min="2" max="2" width="36.42578125" style="1" customWidth="1"/>
    <col min="3" max="3" width="24.140625" style="1" customWidth="1"/>
    <col min="4" max="4" width="14" style="1" customWidth="1"/>
    <col min="5" max="5" width="11" style="1" customWidth="1"/>
    <col min="6" max="6" width="15" style="1"/>
    <col min="7" max="8" width="12.5703125" style="1" customWidth="1"/>
    <col min="9" max="9" width="15" style="1"/>
    <col min="10" max="12" width="12.5703125" style="1" customWidth="1"/>
    <col min="13" max="13" width="10.85546875" style="1" customWidth="1"/>
    <col min="14" max="14" width="15" style="1"/>
    <col min="15" max="15" width="10.7109375" style="1" customWidth="1"/>
    <col min="16" max="16384" width="15" style="1"/>
  </cols>
  <sheetData>
    <row r="1" spans="2:12" ht="23.25" thickBot="1" x14ac:dyDescent="0.3">
      <c r="D1" s="56"/>
      <c r="E1" s="56"/>
    </row>
    <row r="2" spans="2:12" ht="24" customHeight="1" thickTop="1" x14ac:dyDescent="0.25">
      <c r="B2" s="98" t="s">
        <v>402</v>
      </c>
      <c r="C2" s="269">
        <f>'ضریب زلزله در راستای X'!D17</f>
        <v>0.11000000000000001</v>
      </c>
      <c r="D2" s="56"/>
      <c r="E2" s="278" t="s">
        <v>391</v>
      </c>
      <c r="F2" s="305"/>
      <c r="G2" s="306" t="s">
        <v>383</v>
      </c>
      <c r="H2" s="156" t="s">
        <v>382</v>
      </c>
      <c r="I2" s="156" t="s">
        <v>384</v>
      </c>
      <c r="J2" s="156" t="s">
        <v>386</v>
      </c>
      <c r="K2" s="307" t="s">
        <v>389</v>
      </c>
      <c r="L2" s="308" t="s">
        <v>392</v>
      </c>
    </row>
    <row r="3" spans="2:12" ht="23.25" thickBot="1" x14ac:dyDescent="0.3">
      <c r="B3" s="161" t="s">
        <v>403</v>
      </c>
      <c r="C3" s="112">
        <f>'ضریب زلزله در راستای Y'!D17</f>
        <v>0.15714285714285717</v>
      </c>
      <c r="D3" s="56"/>
      <c r="E3" s="279"/>
      <c r="F3" s="309"/>
      <c r="G3" s="310" t="s">
        <v>139</v>
      </c>
      <c r="H3" s="311" t="s">
        <v>358</v>
      </c>
      <c r="I3" s="311"/>
      <c r="J3" s="311" t="s">
        <v>358</v>
      </c>
      <c r="K3" s="312" t="s">
        <v>358</v>
      </c>
      <c r="L3" s="313" t="s">
        <v>395</v>
      </c>
    </row>
    <row r="4" spans="2:12" x14ac:dyDescent="0.25">
      <c r="B4" s="161" t="s">
        <v>405</v>
      </c>
      <c r="C4" s="193">
        <v>1</v>
      </c>
      <c r="D4" s="56"/>
      <c r="E4" s="279"/>
      <c r="F4" s="285" t="s">
        <v>369</v>
      </c>
      <c r="G4" s="286">
        <v>0</v>
      </c>
      <c r="H4" s="287">
        <v>0</v>
      </c>
      <c r="I4" s="288">
        <f>H4*(G4^$C$14)</f>
        <v>0</v>
      </c>
      <c r="J4" s="289">
        <f xml:space="preserve"> ( I4/$I$9 ) * $C$7</f>
        <v>0</v>
      </c>
      <c r="K4" s="290">
        <f>J4</f>
        <v>0</v>
      </c>
      <c r="L4" s="300">
        <f>J4*G4</f>
        <v>0</v>
      </c>
    </row>
    <row r="5" spans="2:12" x14ac:dyDescent="0.25">
      <c r="B5" s="161" t="s">
        <v>404</v>
      </c>
      <c r="C5" s="193">
        <v>1</v>
      </c>
      <c r="D5" s="56"/>
      <c r="E5" s="279"/>
      <c r="F5" s="217" t="s">
        <v>127</v>
      </c>
      <c r="G5" s="284">
        <v>9.6999999999999993</v>
      </c>
      <c r="H5" s="281">
        <v>141.04</v>
      </c>
      <c r="I5" s="282">
        <f>H5*(G5^$C$14)</f>
        <v>1368.0879999999997</v>
      </c>
      <c r="J5" s="205">
        <f xml:space="preserve"> ( I5/$I$9 ) * $C$7</f>
        <v>23.477313725545432</v>
      </c>
      <c r="K5" s="283">
        <f>K4+J5</f>
        <v>23.477313725545432</v>
      </c>
      <c r="L5" s="105">
        <f t="shared" ref="L5:L8" si="0">J5*G5</f>
        <v>227.72994313779068</v>
      </c>
    </row>
    <row r="6" spans="2:12" ht="23.25" thickBot="1" x14ac:dyDescent="0.3">
      <c r="B6" s="207" t="s">
        <v>406</v>
      </c>
      <c r="C6" s="270">
        <f>'محاسبه بار لرزه ای'!I9</f>
        <v>421.94043999999997</v>
      </c>
      <c r="D6" s="56" t="s">
        <v>362</v>
      </c>
      <c r="E6" s="279"/>
      <c r="F6" s="217" t="s">
        <v>372</v>
      </c>
      <c r="G6" s="284">
        <v>0</v>
      </c>
      <c r="H6" s="281">
        <v>0</v>
      </c>
      <c r="I6" s="282">
        <f>H6*(G6^$C$14)</f>
        <v>0</v>
      </c>
      <c r="J6" s="205">
        <f xml:space="preserve"> ( I6/$I$9 ) * $C$7</f>
        <v>0</v>
      </c>
      <c r="K6" s="283">
        <f t="shared" ref="K6:K8" si="1">K5+J6</f>
        <v>23.477313725545432</v>
      </c>
      <c r="L6" s="105">
        <f t="shared" si="0"/>
        <v>0</v>
      </c>
    </row>
    <row r="7" spans="2:12" x14ac:dyDescent="0.25">
      <c r="B7" s="274" t="s">
        <v>375</v>
      </c>
      <c r="C7" s="275">
        <f>C2*C4*$C$6</f>
        <v>46.4134484</v>
      </c>
      <c r="D7" s="97" t="s">
        <v>362</v>
      </c>
      <c r="E7" s="279"/>
      <c r="F7" s="217" t="s">
        <v>373</v>
      </c>
      <c r="G7" s="284">
        <v>6.4</v>
      </c>
      <c r="H7" s="281">
        <v>141.13999999999999</v>
      </c>
      <c r="I7" s="282">
        <f>H7*(G7^$C$14)</f>
        <v>903.29599999999994</v>
      </c>
      <c r="J7" s="205">
        <f xml:space="preserve"> ( I7/$I$9 ) * $C$7</f>
        <v>15.501169207704688</v>
      </c>
      <c r="K7" s="283">
        <f t="shared" si="1"/>
        <v>38.97848293325012</v>
      </c>
      <c r="L7" s="105">
        <f t="shared" si="0"/>
        <v>99.207482929310004</v>
      </c>
    </row>
    <row r="8" spans="2:12" ht="23.25" thickBot="1" x14ac:dyDescent="0.3">
      <c r="B8" s="298" t="s">
        <v>376</v>
      </c>
      <c r="C8" s="299">
        <f>C3*C5*$C$6</f>
        <v>66.304926285714288</v>
      </c>
      <c r="D8" s="97" t="s">
        <v>362</v>
      </c>
      <c r="E8" s="279"/>
      <c r="F8" s="217" t="s">
        <v>374</v>
      </c>
      <c r="G8" s="292">
        <v>3.1</v>
      </c>
      <c r="H8" s="293">
        <v>139.76</v>
      </c>
      <c r="I8" s="294">
        <f>H8*(G8^$C$14)</f>
        <v>433.25599999999997</v>
      </c>
      <c r="J8" s="295">
        <f xml:space="preserve"> ( I8/$I$9 ) * $C$7</f>
        <v>7.4349654667498832</v>
      </c>
      <c r="K8" s="296">
        <f t="shared" si="1"/>
        <v>46.413448400000007</v>
      </c>
      <c r="L8" s="301">
        <f t="shared" si="0"/>
        <v>23.04839294692464</v>
      </c>
    </row>
    <row r="9" spans="2:12" ht="23.25" thickBot="1" x14ac:dyDescent="0.3">
      <c r="B9" s="298" t="s">
        <v>393</v>
      </c>
      <c r="C9" s="299">
        <f>L9</f>
        <v>349.98581901402531</v>
      </c>
      <c r="D9" s="97" t="s">
        <v>395</v>
      </c>
      <c r="E9" s="280"/>
      <c r="F9" s="218" t="s">
        <v>385</v>
      </c>
      <c r="G9" s="303"/>
      <c r="H9" s="302" t="s">
        <v>396</v>
      </c>
      <c r="I9" s="297">
        <f>SUM(I4:I8)</f>
        <v>2704.6399999999994</v>
      </c>
      <c r="J9" s="291"/>
      <c r="K9" s="302" t="s">
        <v>396</v>
      </c>
      <c r="L9" s="304">
        <f>SUM(L4:L8)</f>
        <v>349.98581901402531</v>
      </c>
    </row>
    <row r="10" spans="2:12" ht="23.25" customHeight="1" thickTop="1" thickBot="1" x14ac:dyDescent="0.3">
      <c r="B10" s="276" t="s">
        <v>394</v>
      </c>
      <c r="C10" s="277">
        <f>L18</f>
        <v>499.97974144860763</v>
      </c>
      <c r="D10" s="97" t="s">
        <v>395</v>
      </c>
    </row>
    <row r="11" spans="2:12" ht="24" customHeight="1" thickTop="1" thickBot="1" x14ac:dyDescent="0.3">
      <c r="C11" s="268"/>
      <c r="E11" s="278" t="s">
        <v>390</v>
      </c>
      <c r="F11" s="305"/>
      <c r="G11" s="306" t="s">
        <v>383</v>
      </c>
      <c r="H11" s="156" t="s">
        <v>382</v>
      </c>
      <c r="I11" s="156" t="s">
        <v>388</v>
      </c>
      <c r="J11" s="156" t="s">
        <v>386</v>
      </c>
      <c r="K11" s="307" t="s">
        <v>389</v>
      </c>
      <c r="L11" s="308" t="s">
        <v>392</v>
      </c>
    </row>
    <row r="12" spans="2:12" ht="24" thickTop="1" thickBot="1" x14ac:dyDescent="0.3">
      <c r="B12" s="98" t="s">
        <v>380</v>
      </c>
      <c r="C12" s="269">
        <f>'ضریب زلزله در راستای X'!D7</f>
        <v>0.43971247561760912</v>
      </c>
      <c r="D12" s="56" t="s">
        <v>377</v>
      </c>
      <c r="E12" s="279"/>
      <c r="F12" s="309"/>
      <c r="G12" s="310" t="s">
        <v>139</v>
      </c>
      <c r="H12" s="311" t="s">
        <v>358</v>
      </c>
      <c r="I12" s="311"/>
      <c r="J12" s="311" t="s">
        <v>358</v>
      </c>
      <c r="K12" s="312" t="s">
        <v>358</v>
      </c>
      <c r="L12" s="313" t="s">
        <v>395</v>
      </c>
    </row>
    <row r="13" spans="2:12" x14ac:dyDescent="0.25">
      <c r="B13" s="161" t="s">
        <v>381</v>
      </c>
      <c r="C13" s="112">
        <f>'ضریب زلزله در راستای Y'!D7</f>
        <v>0.34352537157625712</v>
      </c>
      <c r="D13" s="56" t="s">
        <v>377</v>
      </c>
      <c r="E13" s="279"/>
      <c r="F13" s="285" t="s">
        <v>369</v>
      </c>
      <c r="G13" s="286">
        <v>0</v>
      </c>
      <c r="H13" s="287">
        <v>0</v>
      </c>
      <c r="I13" s="288">
        <f>H13*(G13^$C$15)</f>
        <v>0</v>
      </c>
      <c r="J13" s="289">
        <f xml:space="preserve"> ( I13/$I$18 ) * $C$8</f>
        <v>0</v>
      </c>
      <c r="K13" s="290">
        <f>J13</f>
        <v>0</v>
      </c>
      <c r="L13" s="300">
        <f>J13*G13</f>
        <v>0</v>
      </c>
    </row>
    <row r="14" spans="2:12" x14ac:dyDescent="0.25">
      <c r="B14" s="161" t="s">
        <v>378</v>
      </c>
      <c r="C14" s="112">
        <f>IF(C12&lt;0.5,1,IF(AND(0.5&lt;=C12,C12&lt;=2.5),0.5*C12+0.75,IF(2.5&lt;C12,2)))</f>
        <v>1</v>
      </c>
      <c r="E14" s="279"/>
      <c r="F14" s="217" t="s">
        <v>127</v>
      </c>
      <c r="G14" s="284">
        <v>9.6999999999999993</v>
      </c>
      <c r="H14" s="281">
        <v>141.04</v>
      </c>
      <c r="I14" s="282">
        <f>H14*(G14^$C$15)</f>
        <v>1368.0879999999997</v>
      </c>
      <c r="J14" s="205">
        <f xml:space="preserve"> ( I14/$I$18 ) * $C$8</f>
        <v>33.53901960792205</v>
      </c>
      <c r="K14" s="283">
        <f>K13+J14</f>
        <v>33.53901960792205</v>
      </c>
      <c r="L14" s="105">
        <f t="shared" ref="L14:L17" si="2">J14*G14</f>
        <v>325.32849019684386</v>
      </c>
    </row>
    <row r="15" spans="2:12" ht="23.25" thickBot="1" x14ac:dyDescent="0.3">
      <c r="B15" s="194" t="s">
        <v>379</v>
      </c>
      <c r="C15" s="271">
        <f>IF(C13&lt;0.5,1,IF(AND(0.5&lt;=C13,C13&lt;=2.5),0.5*C13+0.75,IF(2.5&lt;C13,2)))</f>
        <v>1</v>
      </c>
      <c r="E15" s="279"/>
      <c r="F15" s="217" t="s">
        <v>372</v>
      </c>
      <c r="G15" s="284">
        <v>0</v>
      </c>
      <c r="H15" s="281">
        <v>0</v>
      </c>
      <c r="I15" s="282">
        <f>H15*(G15^$C$15)</f>
        <v>0</v>
      </c>
      <c r="J15" s="205">
        <f xml:space="preserve"> ( I15/$I$18 ) * $C$8</f>
        <v>0</v>
      </c>
      <c r="K15" s="283">
        <f t="shared" ref="K15:K17" si="3">K14+J15</f>
        <v>33.53901960792205</v>
      </c>
      <c r="L15" s="105">
        <f t="shared" si="2"/>
        <v>0</v>
      </c>
    </row>
    <row r="16" spans="2:12" ht="24" thickTop="1" thickBot="1" x14ac:dyDescent="0.3">
      <c r="C16" s="268"/>
      <c r="E16" s="279"/>
      <c r="F16" s="217" t="s">
        <v>373</v>
      </c>
      <c r="G16" s="284">
        <v>6.4</v>
      </c>
      <c r="H16" s="281">
        <v>141.13999999999999</v>
      </c>
      <c r="I16" s="282">
        <f>H16*(G16^$C$15)</f>
        <v>903.29599999999994</v>
      </c>
      <c r="J16" s="205">
        <f xml:space="preserve"> ( I16/$I$18 ) * $C$8</f>
        <v>22.144527439578127</v>
      </c>
      <c r="K16" s="283">
        <f t="shared" si="3"/>
        <v>55.683547047500177</v>
      </c>
      <c r="L16" s="105">
        <f t="shared" si="2"/>
        <v>141.72497561330002</v>
      </c>
    </row>
    <row r="17" spans="2:12" ht="46.5" thickTop="1" thickBot="1" x14ac:dyDescent="0.3">
      <c r="B17" s="272" t="s">
        <v>387</v>
      </c>
      <c r="C17" s="273" t="str">
        <f>IF('محاسبه بار لرزه ای'!I10&gt;0.25*'محاسبه بار لرزه ای'!I11," خرپشته باید به عنوان یک طبقه جدا در نظر گرفته شود"," خرپشته جزو بام محسوب می شود")</f>
        <v xml:space="preserve"> خرپشته جزو بام محسوب می شود</v>
      </c>
      <c r="E17" s="279"/>
      <c r="F17" s="217" t="s">
        <v>374</v>
      </c>
      <c r="G17" s="292">
        <v>3.1</v>
      </c>
      <c r="H17" s="293">
        <v>139.76</v>
      </c>
      <c r="I17" s="294">
        <f>H17*(G17^$C$15)</f>
        <v>433.25599999999997</v>
      </c>
      <c r="J17" s="295">
        <f xml:space="preserve"> ( I17/$I$18 ) * $C$8</f>
        <v>10.621379238214118</v>
      </c>
      <c r="K17" s="296">
        <f t="shared" si="3"/>
        <v>66.304926285714288</v>
      </c>
      <c r="L17" s="301">
        <f t="shared" si="2"/>
        <v>32.926275638463764</v>
      </c>
    </row>
    <row r="18" spans="2:12" ht="24" thickTop="1" thickBot="1" x14ac:dyDescent="0.3">
      <c r="E18" s="280"/>
      <c r="F18" s="218" t="s">
        <v>385</v>
      </c>
      <c r="G18" s="303"/>
      <c r="H18" s="302" t="s">
        <v>396</v>
      </c>
      <c r="I18" s="297">
        <f>SUM(I13:I17)</f>
        <v>2704.6399999999994</v>
      </c>
      <c r="J18" s="291"/>
      <c r="K18" s="302" t="s">
        <v>396</v>
      </c>
      <c r="L18" s="304">
        <f>SUM(L13:L17)</f>
        <v>499.97974144860763</v>
      </c>
    </row>
    <row r="19" spans="2:12" ht="23.25" thickTop="1" x14ac:dyDescent="0.25"/>
  </sheetData>
  <mergeCells count="2">
    <mergeCell ref="E2:E9"/>
    <mergeCell ref="E11:E18"/>
  </mergeCells>
  <conditionalFormatting sqref="C17">
    <cfRule type="expression" dxfId="3" priority="2">
      <formula>$C$17 = " خرپشته جزو بام محسوب می شود"</formula>
    </cfRule>
    <cfRule type="expression" dxfId="2" priority="4">
      <formula>$C$17=" خرپشته باید به عنوان یک طبقه جدا در نظر گرفته شود"</formula>
    </cfRule>
  </conditionalFormatting>
  <conditionalFormatting sqref="B17:C17">
    <cfRule type="expression" dxfId="1" priority="1">
      <formula>$C$17 = " خرپشته جزو بام محسوب می شود"</formula>
    </cfRule>
    <cfRule type="expression" dxfId="0" priority="3">
      <formula>$C$17 = " خرپشته باید به عنوان یک طبقه جدا در نظر گرفته شود"</formula>
    </cfRule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39997558519241921"/>
  </sheetPr>
  <dimension ref="G1:J24"/>
  <sheetViews>
    <sheetView showGridLines="0" topLeftCell="A10" workbookViewId="0">
      <selection activeCell="G9" sqref="G9"/>
    </sheetView>
  </sheetViews>
  <sheetFormatPr defaultColWidth="13.7109375" defaultRowHeight="22.5" x14ac:dyDescent="0.25"/>
  <cols>
    <col min="1" max="6" width="13.7109375" style="1"/>
    <col min="7" max="7" width="48.28515625" style="1" bestFit="1" customWidth="1"/>
    <col min="8" max="8" width="25.5703125" style="1" bestFit="1" customWidth="1"/>
    <col min="9" max="9" width="13" style="1" bestFit="1" customWidth="1"/>
    <col min="10" max="10" width="24.140625" style="1" bestFit="1" customWidth="1"/>
    <col min="11" max="16384" width="13.7109375" style="1"/>
  </cols>
  <sheetData>
    <row r="1" spans="7:10" ht="23.25" thickBot="1" x14ac:dyDescent="0.3"/>
    <row r="2" spans="7:10" ht="23.25" thickTop="1" x14ac:dyDescent="0.25">
      <c r="G2" s="17"/>
      <c r="H2" s="18" t="s">
        <v>68</v>
      </c>
      <c r="I2" s="19" t="s">
        <v>69</v>
      </c>
      <c r="J2" s="20" t="s">
        <v>71</v>
      </c>
    </row>
    <row r="3" spans="7:10" ht="23.25" thickBot="1" x14ac:dyDescent="0.3">
      <c r="G3" s="21"/>
      <c r="H3" s="22" t="s">
        <v>67</v>
      </c>
      <c r="I3" s="23" t="s">
        <v>70</v>
      </c>
      <c r="J3" s="24" t="s">
        <v>72</v>
      </c>
    </row>
    <row r="4" spans="7:10" ht="23.25" thickBot="1" x14ac:dyDescent="0.3">
      <c r="G4" s="11" t="s">
        <v>35</v>
      </c>
      <c r="H4" s="12">
        <f>VLOOKUP(G4,Table1[],2,FALSE)</f>
        <v>2800</v>
      </c>
      <c r="I4" s="13">
        <v>20</v>
      </c>
      <c r="J4" s="25">
        <f>H4*I4/1000</f>
        <v>56</v>
      </c>
    </row>
    <row r="5" spans="7:10" ht="23.25" thickBot="1" x14ac:dyDescent="0.3">
      <c r="G5" s="11" t="s">
        <v>14</v>
      </c>
      <c r="H5" s="12">
        <f>VLOOKUP(G5,Table1[],2,FALSE)</f>
        <v>2100</v>
      </c>
      <c r="I5" s="13">
        <v>20</v>
      </c>
      <c r="J5" s="25">
        <f t="shared" ref="J5:J8" si="0">H5*I5/1000</f>
        <v>42</v>
      </c>
    </row>
    <row r="6" spans="7:10" ht="23.25" thickBot="1" x14ac:dyDescent="0.3">
      <c r="G6" s="11" t="s">
        <v>50</v>
      </c>
      <c r="H6" s="12">
        <f>VLOOKUP(G6,Table1[],2,FALSE)</f>
        <v>850</v>
      </c>
      <c r="I6" s="13">
        <v>20</v>
      </c>
      <c r="J6" s="25">
        <f t="shared" si="0"/>
        <v>17</v>
      </c>
    </row>
    <row r="7" spans="7:10" ht="23.25" thickBot="1" x14ac:dyDescent="0.3">
      <c r="G7" s="11" t="s">
        <v>18</v>
      </c>
      <c r="H7" s="12">
        <f>VLOOKUP(G7,Table1[],2,FALSE)</f>
        <v>1600</v>
      </c>
      <c r="I7" s="13">
        <v>10</v>
      </c>
      <c r="J7" s="25">
        <f t="shared" si="0"/>
        <v>16</v>
      </c>
    </row>
    <row r="8" spans="7:10" ht="23.25" thickBot="1" x14ac:dyDescent="0.3">
      <c r="G8" s="11" t="s">
        <v>15</v>
      </c>
      <c r="H8" s="12">
        <f>VLOOKUP(G8,Table1[],2,FALSE)</f>
        <v>1300</v>
      </c>
      <c r="I8" s="13">
        <v>10</v>
      </c>
      <c r="J8" s="25">
        <f t="shared" si="0"/>
        <v>13</v>
      </c>
    </row>
    <row r="9" spans="7:10" ht="23.25" thickBot="1" x14ac:dyDescent="0.3">
      <c r="G9" s="14" t="s">
        <v>73</v>
      </c>
      <c r="H9" s="15"/>
      <c r="I9" s="16"/>
      <c r="J9" s="26">
        <f>SUM(J4:J8)</f>
        <v>144</v>
      </c>
    </row>
    <row r="10" spans="7:10" ht="23.25" thickTop="1" x14ac:dyDescent="0.25"/>
    <row r="16" spans="7:10" ht="23.25" thickBot="1" x14ac:dyDescent="0.3"/>
    <row r="17" spans="7:10" ht="23.25" thickTop="1" x14ac:dyDescent="0.25">
      <c r="G17" s="17"/>
      <c r="H17" s="18" t="s">
        <v>68</v>
      </c>
      <c r="I17" s="19" t="s">
        <v>69</v>
      </c>
      <c r="J17" s="20" t="s">
        <v>71</v>
      </c>
    </row>
    <row r="18" spans="7:10" ht="23.25" thickBot="1" x14ac:dyDescent="0.3">
      <c r="G18" s="21"/>
      <c r="H18" s="22" t="s">
        <v>67</v>
      </c>
      <c r="I18" s="23" t="s">
        <v>70</v>
      </c>
      <c r="J18" s="24" t="s">
        <v>72</v>
      </c>
    </row>
    <row r="19" spans="7:10" ht="23.25" thickBot="1" x14ac:dyDescent="0.3">
      <c r="G19" s="11" t="s">
        <v>14</v>
      </c>
      <c r="H19" s="12">
        <f>VLOOKUP(G19,Table1[],2,FALSE)</f>
        <v>2100</v>
      </c>
      <c r="I19" s="13">
        <v>20</v>
      </c>
      <c r="J19" s="25">
        <f t="shared" ref="J19:J22" si="1">H19*I19/1000</f>
        <v>42</v>
      </c>
    </row>
    <row r="20" spans="7:10" ht="23.25" thickBot="1" x14ac:dyDescent="0.3">
      <c r="G20" s="11" t="s">
        <v>50</v>
      </c>
      <c r="H20" s="12">
        <f>VLOOKUP(G20,Table1[],2,FALSE)</f>
        <v>850</v>
      </c>
      <c r="I20" s="13">
        <v>20</v>
      </c>
      <c r="J20" s="25">
        <f t="shared" si="1"/>
        <v>17</v>
      </c>
    </row>
    <row r="21" spans="7:10" ht="23.25" thickBot="1" x14ac:dyDescent="0.3">
      <c r="G21" s="11" t="s">
        <v>18</v>
      </c>
      <c r="H21" s="12">
        <f>VLOOKUP(G21,Table1[],2,FALSE)</f>
        <v>1600</v>
      </c>
      <c r="I21" s="13">
        <v>10</v>
      </c>
      <c r="J21" s="25">
        <f t="shared" si="1"/>
        <v>16</v>
      </c>
    </row>
    <row r="22" spans="7:10" ht="23.25" thickBot="1" x14ac:dyDescent="0.3">
      <c r="G22" s="11" t="s">
        <v>15</v>
      </c>
      <c r="H22" s="12">
        <f>VLOOKUP(G22,Table1[],2,FALSE)</f>
        <v>1300</v>
      </c>
      <c r="I22" s="13">
        <v>10</v>
      </c>
      <c r="J22" s="25">
        <f t="shared" si="1"/>
        <v>13</v>
      </c>
    </row>
    <row r="23" spans="7:10" ht="23.25" thickBot="1" x14ac:dyDescent="0.3">
      <c r="G23" s="14" t="s">
        <v>73</v>
      </c>
      <c r="H23" s="15"/>
      <c r="I23" s="16"/>
      <c r="J23" s="26">
        <f>SUM(J19:J22)</f>
        <v>88</v>
      </c>
    </row>
    <row r="24" spans="7:10" ht="23.25" thickTop="1" x14ac:dyDescent="0.25"/>
  </sheetData>
  <dataValidations count="4">
    <dataValidation type="list" allowBlank="1" showInputMessage="1" showErrorMessage="1" sqref="G5">
      <formula1>$B$12:$B$19</formula1>
    </dataValidation>
    <dataValidation type="list" allowBlank="1" showInputMessage="1" showErrorMessage="1" sqref="G21:G22">
      <formula1>$B$12:$B$19</formula1>
    </dataValidation>
    <dataValidation type="list" allowBlank="1" showInputMessage="1" showErrorMessage="1" sqref="G19">
      <formula1>$B$12:$B$19</formula1>
    </dataValidation>
    <dataValidation type="list" allowBlank="1" showInputMessage="1" showErrorMessage="1" sqref="G20">
      <formula1>$B$41:$B$48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جداول!$B$12:$B$19</xm:f>
          </x14:formula1>
          <xm:sqref>G7:G8</xm:sqref>
        </x14:dataValidation>
        <x14:dataValidation type="list" allowBlank="1" showInputMessage="1" showErrorMessage="1">
          <x14:formula1>
            <xm:f>جداول!$B$32:$B$40</xm:f>
          </x14:formula1>
          <xm:sqref>G4</xm:sqref>
        </x14:dataValidation>
        <x14:dataValidation type="list" allowBlank="1" showInputMessage="1" showErrorMessage="1">
          <x14:formula1>
            <xm:f>جداول!$B$41:$B$48</xm:f>
          </x14:formula1>
          <xm:sqref>G6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0.39997558519241921"/>
  </sheetPr>
  <dimension ref="B2:I6"/>
  <sheetViews>
    <sheetView showGridLines="0" workbookViewId="0">
      <selection activeCell="E15" sqref="E15"/>
    </sheetView>
  </sheetViews>
  <sheetFormatPr defaultColWidth="15" defaultRowHeight="22.5" x14ac:dyDescent="0.25"/>
  <cols>
    <col min="1" max="1" width="15" style="1"/>
    <col min="2" max="2" width="13" style="1" bestFit="1" customWidth="1"/>
    <col min="3" max="3" width="8" style="1" bestFit="1" customWidth="1"/>
    <col min="4" max="4" width="5.85546875" style="1" customWidth="1"/>
    <col min="5" max="5" width="47" style="1" bestFit="1" customWidth="1"/>
    <col min="6" max="6" width="15" style="1"/>
    <col min="7" max="7" width="21" style="1" customWidth="1"/>
    <col min="8" max="8" width="11.85546875" style="1" customWidth="1"/>
    <col min="9" max="9" width="24.140625" style="1" bestFit="1" customWidth="1"/>
    <col min="10" max="16384" width="15" style="1"/>
  </cols>
  <sheetData>
    <row r="2" spans="2:9" ht="23.25" thickBot="1" x14ac:dyDescent="0.3"/>
    <row r="3" spans="2:9" ht="24" thickTop="1" thickBot="1" x14ac:dyDescent="0.3">
      <c r="B3" s="1" t="s">
        <v>74</v>
      </c>
      <c r="C3" s="1" t="s">
        <v>75</v>
      </c>
      <c r="E3" s="27" t="s">
        <v>76</v>
      </c>
      <c r="G3" s="28" t="s">
        <v>74</v>
      </c>
      <c r="H3" s="29">
        <v>9</v>
      </c>
    </row>
    <row r="4" spans="2:9" ht="23.25" thickBot="1" x14ac:dyDescent="0.3">
      <c r="G4" s="30" t="s">
        <v>80</v>
      </c>
      <c r="H4" s="31">
        <f>IF(H3&gt;5,25,0)</f>
        <v>25</v>
      </c>
      <c r="I4" s="1" t="s">
        <v>72</v>
      </c>
    </row>
    <row r="5" spans="2:9" ht="23.25" thickTop="1" x14ac:dyDescent="0.25">
      <c r="B5" s="1" t="s">
        <v>74</v>
      </c>
      <c r="C5" s="1" t="s">
        <v>77</v>
      </c>
      <c r="E5" s="2" t="s">
        <v>78</v>
      </c>
    </row>
    <row r="6" spans="2:9" x14ac:dyDescent="0.25">
      <c r="E6" s="2" t="s">
        <v>79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99"/>
  </sheetPr>
  <dimension ref="B1:D8"/>
  <sheetViews>
    <sheetView showGridLines="0" workbookViewId="0">
      <selection activeCell="D13" sqref="D13"/>
    </sheetView>
  </sheetViews>
  <sheetFormatPr defaultColWidth="15" defaultRowHeight="22.5" x14ac:dyDescent="0.25"/>
  <cols>
    <col min="1" max="1" width="5.42578125" style="1" customWidth="1"/>
    <col min="2" max="2" width="11.85546875" style="37" customWidth="1"/>
    <col min="3" max="3" width="68.42578125" style="1" customWidth="1"/>
    <col min="4" max="4" width="78.140625" style="1" customWidth="1"/>
    <col min="5" max="5" width="15.7109375" style="1" customWidth="1"/>
    <col min="6" max="16384" width="15" style="1"/>
  </cols>
  <sheetData>
    <row r="1" spans="2:4" ht="23.25" thickBot="1" x14ac:dyDescent="0.3"/>
    <row r="2" spans="2:4" ht="24" thickTop="1" thickBot="1" x14ac:dyDescent="0.3">
      <c r="B2" s="38"/>
      <c r="C2" s="39" t="s">
        <v>110</v>
      </c>
      <c r="D2" s="40" t="s">
        <v>129</v>
      </c>
    </row>
    <row r="3" spans="2:4" ht="23.25" thickBot="1" x14ac:dyDescent="0.3">
      <c r="B3" s="41" t="s">
        <v>127</v>
      </c>
      <c r="C3" s="46" t="s">
        <v>84</v>
      </c>
      <c r="D3" s="42">
        <f>VLOOKUP(C3,Table2[],2,FALSE)</f>
        <v>5</v>
      </c>
    </row>
    <row r="4" spans="2:4" ht="23.25" thickBot="1" x14ac:dyDescent="0.3">
      <c r="B4" s="43" t="s">
        <v>128</v>
      </c>
      <c r="C4" s="46" t="s">
        <v>98</v>
      </c>
      <c r="D4" s="42">
        <f>VLOOKUP(C4,Table2[],2,FALSE)</f>
        <v>6</v>
      </c>
    </row>
    <row r="5" spans="2:4" ht="23.25" thickBot="1" x14ac:dyDescent="0.3">
      <c r="B5" s="41" t="s">
        <v>100</v>
      </c>
      <c r="C5" s="46" t="s">
        <v>101</v>
      </c>
      <c r="D5" s="42">
        <f>VLOOKUP(C5,Table2[],2,FALSE)</f>
        <v>5</v>
      </c>
    </row>
    <row r="6" spans="2:4" ht="23.25" thickBot="1" x14ac:dyDescent="0.3">
      <c r="B6" s="41" t="s">
        <v>104</v>
      </c>
      <c r="C6" s="46" t="s">
        <v>105</v>
      </c>
      <c r="D6" s="42">
        <f>VLOOKUP(C6,Table2[],2,FALSE)</f>
        <v>5</v>
      </c>
    </row>
    <row r="7" spans="2:4" ht="23.25" thickBot="1" x14ac:dyDescent="0.3">
      <c r="B7" s="44" t="s">
        <v>108</v>
      </c>
      <c r="C7" s="47" t="s">
        <v>108</v>
      </c>
      <c r="D7" s="45" t="str">
        <f>VLOOKUP(C7,Table2[],2,FALSE)</f>
        <v xml:space="preserve"> معادل ۱.۵ برابر بار زنده کف اتاق های متصل به آنها، اما نه بیشتر از ۵</v>
      </c>
    </row>
    <row r="8" spans="2:4" ht="23.25" thickTop="1" x14ac:dyDescent="0.25"/>
  </sheetData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>
          <x14:formula1>
            <xm:f>جداول!$F$3:$F$8</xm:f>
          </x14:formula1>
          <xm:sqref>C3</xm:sqref>
        </x14:dataValidation>
        <x14:dataValidation type="list" allowBlank="1" showInputMessage="1" showErrorMessage="1">
          <x14:formula1>
            <xm:f>جداول!$F$9:$F$17</xm:f>
          </x14:formula1>
          <xm:sqref>C4</xm:sqref>
        </x14:dataValidation>
        <x14:dataValidation type="list" allowBlank="1" showInputMessage="1" showErrorMessage="1">
          <x14:formula1>
            <xm:f>جداول!$F$18:$F$20</xm:f>
          </x14:formula1>
          <xm:sqref>C5</xm:sqref>
        </x14:dataValidation>
        <x14:dataValidation type="list" allowBlank="1" showInputMessage="1" showErrorMessage="1">
          <x14:formula1>
            <xm:f>جداول!$F$21:$F$22</xm:f>
          </x14:formula1>
          <xm:sqref>C6</xm:sqref>
        </x14:dataValidation>
        <x14:dataValidation type="list" allowBlank="1" showInputMessage="1" showErrorMessage="1">
          <x14:formula1>
            <xm:f>جداول!$F$23</xm:f>
          </x14:formula1>
          <xm:sqref>C7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99"/>
  </sheetPr>
  <dimension ref="B17:J35"/>
  <sheetViews>
    <sheetView showGridLines="0" topLeftCell="A15" zoomScale="90" zoomScaleNormal="90" workbookViewId="0">
      <selection activeCell="E23" sqref="E23"/>
    </sheetView>
  </sheetViews>
  <sheetFormatPr defaultColWidth="15" defaultRowHeight="22.5" x14ac:dyDescent="0.25"/>
  <cols>
    <col min="1" max="1" width="1.140625" style="1" customWidth="1"/>
    <col min="2" max="2" width="7" style="1" customWidth="1"/>
    <col min="3" max="3" width="22" style="1" bestFit="1" customWidth="1"/>
    <col min="4" max="4" width="29.7109375" style="1" bestFit="1" customWidth="1"/>
    <col min="5" max="5" width="15.42578125" style="1" bestFit="1" customWidth="1"/>
    <col min="6" max="6" width="45.5703125" style="1" bestFit="1" customWidth="1"/>
    <col min="7" max="7" width="26.85546875" style="1" bestFit="1" customWidth="1"/>
    <col min="8" max="8" width="28.5703125" style="1" bestFit="1" customWidth="1"/>
    <col min="9" max="9" width="25.28515625" style="1" bestFit="1" customWidth="1"/>
    <col min="10" max="10" width="44.140625" style="1" bestFit="1" customWidth="1"/>
    <col min="11" max="16384" width="15" style="1"/>
  </cols>
  <sheetData>
    <row r="17" spans="2:10" ht="23.25" thickBot="1" x14ac:dyDescent="0.3"/>
    <row r="18" spans="2:10" ht="23.25" thickTop="1" x14ac:dyDescent="0.4">
      <c r="F18" s="17"/>
      <c r="G18" s="68" t="s">
        <v>68</v>
      </c>
      <c r="H18" s="69" t="s">
        <v>69</v>
      </c>
      <c r="I18" s="70" t="s">
        <v>71</v>
      </c>
    </row>
    <row r="19" spans="2:10" ht="23.25" thickBot="1" x14ac:dyDescent="0.3">
      <c r="F19" s="21"/>
      <c r="G19" s="71" t="s">
        <v>67</v>
      </c>
      <c r="H19" s="72" t="s">
        <v>70</v>
      </c>
      <c r="I19" s="73" t="s">
        <v>72</v>
      </c>
    </row>
    <row r="20" spans="2:10" ht="23.25" thickBot="1" x14ac:dyDescent="0.3">
      <c r="F20" s="11" t="s">
        <v>15</v>
      </c>
      <c r="G20" s="12">
        <f>VLOOKUP(F20,Table1[],2,FALSE)</f>
        <v>1300</v>
      </c>
      <c r="H20" s="13">
        <v>10</v>
      </c>
      <c r="I20" s="25">
        <f>G20*H20/1000</f>
        <v>13</v>
      </c>
    </row>
    <row r="21" spans="2:10" ht="23.25" thickBot="1" x14ac:dyDescent="0.3">
      <c r="F21" s="11" t="s">
        <v>18</v>
      </c>
      <c r="G21" s="12">
        <f>VLOOKUP(F21,Table1[],2,FALSE)</f>
        <v>1600</v>
      </c>
      <c r="H21" s="13">
        <v>20</v>
      </c>
      <c r="I21" s="25">
        <f t="shared" ref="I21:I24" si="0">G21*H21/1000</f>
        <v>32</v>
      </c>
    </row>
    <row r="22" spans="2:10" ht="23.25" thickBot="1" x14ac:dyDescent="0.3">
      <c r="F22" s="11" t="s">
        <v>45</v>
      </c>
      <c r="G22" s="12">
        <f>VLOOKUP(F22,Table1[],2,FALSE)</f>
        <v>1850</v>
      </c>
      <c r="H22" s="13">
        <v>27</v>
      </c>
      <c r="I22" s="25">
        <f t="shared" si="0"/>
        <v>49.95</v>
      </c>
    </row>
    <row r="23" spans="2:10" ht="23.25" thickBot="1" x14ac:dyDescent="0.3">
      <c r="F23" s="11" t="s">
        <v>18</v>
      </c>
      <c r="G23" s="12">
        <f>VLOOKUP(F23,Table1[],2,FALSE)</f>
        <v>1600</v>
      </c>
      <c r="H23" s="13">
        <v>20</v>
      </c>
      <c r="I23" s="25">
        <f t="shared" si="0"/>
        <v>32</v>
      </c>
    </row>
    <row r="24" spans="2:10" ht="23.25" thickBot="1" x14ac:dyDescent="0.3">
      <c r="F24" s="11" t="s">
        <v>15</v>
      </c>
      <c r="G24" s="12">
        <f>VLOOKUP(F24,Table1[],2,FALSE)</f>
        <v>1300</v>
      </c>
      <c r="H24" s="13">
        <v>10</v>
      </c>
      <c r="I24" s="25">
        <f t="shared" si="0"/>
        <v>13</v>
      </c>
    </row>
    <row r="25" spans="2:10" ht="23.25" thickBot="1" x14ac:dyDescent="0.3">
      <c r="F25" s="52" t="s">
        <v>130</v>
      </c>
      <c r="G25" s="15"/>
      <c r="H25" s="16"/>
      <c r="I25" s="26">
        <f>SUM(I20:I24)</f>
        <v>139.94999999999999</v>
      </c>
    </row>
    <row r="26" spans="2:10" ht="23.25" thickTop="1" x14ac:dyDescent="0.25"/>
    <row r="29" spans="2:10" ht="23.25" thickBot="1" x14ac:dyDescent="0.3"/>
    <row r="30" spans="2:10" ht="23.25" thickTop="1" x14ac:dyDescent="0.4">
      <c r="B30" s="74" t="s">
        <v>141</v>
      </c>
      <c r="C30" s="75" t="s">
        <v>137</v>
      </c>
      <c r="D30" s="75" t="s">
        <v>130</v>
      </c>
      <c r="E30" s="75" t="s">
        <v>131</v>
      </c>
      <c r="F30" s="75" t="s">
        <v>132</v>
      </c>
      <c r="G30" s="75" t="s">
        <v>133</v>
      </c>
      <c r="H30" s="75" t="s">
        <v>134</v>
      </c>
      <c r="I30" s="75" t="s">
        <v>135</v>
      </c>
      <c r="J30" s="76" t="s">
        <v>136</v>
      </c>
    </row>
    <row r="31" spans="2:10" ht="23.25" thickBot="1" x14ac:dyDescent="0.3">
      <c r="B31" s="77"/>
      <c r="C31" s="78" t="s">
        <v>138</v>
      </c>
      <c r="D31" s="78" t="s">
        <v>138</v>
      </c>
      <c r="E31" s="78" t="s">
        <v>139</v>
      </c>
      <c r="F31" s="78" t="s">
        <v>139</v>
      </c>
      <c r="G31" s="78" t="s">
        <v>140</v>
      </c>
      <c r="H31" s="78" t="s">
        <v>138</v>
      </c>
      <c r="I31" s="78" t="s">
        <v>138</v>
      </c>
      <c r="J31" s="79" t="s">
        <v>138</v>
      </c>
    </row>
    <row r="32" spans="2:10" ht="24" thickTop="1" thickBot="1" x14ac:dyDescent="0.3">
      <c r="B32" s="55" t="s">
        <v>144</v>
      </c>
      <c r="C32" s="66">
        <v>200</v>
      </c>
      <c r="D32" s="63">
        <f>$I$25</f>
        <v>139.94999999999999</v>
      </c>
      <c r="E32" s="64">
        <v>2.5</v>
      </c>
      <c r="F32" s="65">
        <v>40</v>
      </c>
      <c r="G32" s="66">
        <v>200</v>
      </c>
      <c r="H32" s="67">
        <f>D32*E32*F32/G32</f>
        <v>69.974999999999994</v>
      </c>
      <c r="I32" s="67">
        <f>IF(D32&lt;=40,MAX(50,H32),IF(AND(40&lt;D32,D32&lt;200),MAX(100,H32),IF(200&lt;=D32,"بار تیغه باید در محل خود اعمال شود")))</f>
        <v>100</v>
      </c>
      <c r="J32" s="80">
        <f>IF(400&lt;C32,"نیازی به محاسبه بار تیغه بندی نمی باشد",I32)</f>
        <v>100</v>
      </c>
    </row>
    <row r="33" spans="2:10" ht="23.25" thickBot="1" x14ac:dyDescent="0.3">
      <c r="B33" s="53" t="s">
        <v>142</v>
      </c>
      <c r="C33" s="50">
        <v>400</v>
      </c>
      <c r="D33" s="57">
        <f>$I$25</f>
        <v>139.94999999999999</v>
      </c>
      <c r="E33" s="58">
        <v>2.5</v>
      </c>
      <c r="F33" s="59">
        <v>12</v>
      </c>
      <c r="G33" s="50">
        <v>150</v>
      </c>
      <c r="H33" s="48">
        <f t="shared" ref="H33:H34" si="1">D33*E33*F33/G33</f>
        <v>27.99</v>
      </c>
      <c r="I33" s="48">
        <f t="shared" ref="I33:I34" si="2">IF(D33&lt;=40,MAX(50,H33),IF(AND(40&lt;D33,D33&lt;200),MAX(100,H33),IF(200&lt;=D33,"بار تیغه باید در محل خود اعمال شود")))</f>
        <v>100</v>
      </c>
      <c r="J33" s="80">
        <f t="shared" ref="J33:J34" si="3">IF(400&lt;C33,"نیازی به محاسبه بار تیغه بندی نمی باشد",I33)</f>
        <v>100</v>
      </c>
    </row>
    <row r="34" spans="2:10" ht="23.25" thickBot="1" x14ac:dyDescent="0.3">
      <c r="B34" s="54" t="s">
        <v>143</v>
      </c>
      <c r="C34" s="51">
        <v>600</v>
      </c>
      <c r="D34" s="60">
        <f>$I$25</f>
        <v>139.94999999999999</v>
      </c>
      <c r="E34" s="61">
        <v>2.5</v>
      </c>
      <c r="F34" s="62">
        <v>12</v>
      </c>
      <c r="G34" s="51">
        <v>100</v>
      </c>
      <c r="H34" s="49">
        <f t="shared" si="1"/>
        <v>41.984999999999999</v>
      </c>
      <c r="I34" s="49">
        <f t="shared" si="2"/>
        <v>100</v>
      </c>
      <c r="J34" s="80" t="str">
        <f t="shared" si="3"/>
        <v>نیازی به محاسبه بار تیغه بندی نمی باشد</v>
      </c>
    </row>
    <row r="35" spans="2:10" ht="23.25" thickTop="1" x14ac:dyDescent="0.25"/>
  </sheetData>
  <dataValidations count="1">
    <dataValidation type="list" allowBlank="1" showInputMessage="1" showErrorMessage="1" sqref="F20:F21">
      <formula1>$B$12:$B$19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>
          <x14:formula1>
            <xm:f>جداول!$B$41:$B$48</xm:f>
          </x14:formula1>
          <xm:sqref>F22</xm:sqref>
        </x14:dataValidation>
        <x14:dataValidation type="list" allowBlank="1" showInputMessage="1" showErrorMessage="1">
          <x14:formula1>
            <xm:f>جداول!$B$12:$B$19</xm:f>
          </x14:formula1>
          <xm:sqref>F23:F24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99"/>
  </sheetPr>
  <dimension ref="B2:F17"/>
  <sheetViews>
    <sheetView showGridLines="0" tabSelected="1" workbookViewId="0">
      <selection activeCell="C16" sqref="C16"/>
    </sheetView>
  </sheetViews>
  <sheetFormatPr defaultColWidth="15" defaultRowHeight="22.5" x14ac:dyDescent="0.25"/>
  <cols>
    <col min="1" max="1" width="4.140625" style="314" customWidth="1"/>
    <col min="2" max="2" width="61.140625" style="314" bestFit="1" customWidth="1"/>
    <col min="3" max="3" width="37.7109375" style="314" bestFit="1" customWidth="1"/>
    <col min="4" max="4" width="20.85546875" style="315" bestFit="1" customWidth="1"/>
    <col min="5" max="5" width="7.5703125" style="314" customWidth="1"/>
    <col min="6" max="16384" width="15" style="314"/>
  </cols>
  <sheetData>
    <row r="2" spans="2:6" x14ac:dyDescent="0.25">
      <c r="D2" s="314" t="s">
        <v>150</v>
      </c>
    </row>
    <row r="3" spans="2:6" x14ac:dyDescent="0.25">
      <c r="D3" s="315" t="s">
        <v>148</v>
      </c>
    </row>
    <row r="4" spans="2:6" x14ac:dyDescent="0.25">
      <c r="D4" s="315" t="s">
        <v>147</v>
      </c>
    </row>
    <row r="5" spans="2:6" x14ac:dyDescent="0.25">
      <c r="F5" s="315"/>
    </row>
    <row r="6" spans="2:6" x14ac:dyDescent="0.25">
      <c r="F6" s="315"/>
    </row>
    <row r="8" spans="2:6" x14ac:dyDescent="0.25">
      <c r="F8" s="315"/>
    </row>
    <row r="9" spans="2:6" ht="23.25" thickBot="1" x14ac:dyDescent="0.3">
      <c r="F9" s="315"/>
    </row>
    <row r="10" spans="2:6" ht="23.25" thickTop="1" x14ac:dyDescent="0.25">
      <c r="B10" s="316" t="s">
        <v>151</v>
      </c>
      <c r="C10" s="317">
        <v>200</v>
      </c>
      <c r="D10" s="318" t="s">
        <v>138</v>
      </c>
    </row>
    <row r="11" spans="2:6" x14ac:dyDescent="0.25">
      <c r="B11" s="319" t="s">
        <v>124</v>
      </c>
      <c r="C11" s="320" t="s">
        <v>154</v>
      </c>
    </row>
    <row r="12" spans="2:6" x14ac:dyDescent="0.25">
      <c r="B12" s="319" t="s">
        <v>125</v>
      </c>
      <c r="C12" s="327">
        <f>VLOOKUP(C11,Table3[],2,FALSE)</f>
        <v>4</v>
      </c>
    </row>
    <row r="13" spans="2:6" x14ac:dyDescent="0.25">
      <c r="B13" s="319" t="s">
        <v>152</v>
      </c>
      <c r="C13" s="321">
        <v>48</v>
      </c>
      <c r="D13" s="315" t="s">
        <v>153</v>
      </c>
    </row>
    <row r="14" spans="2:6" x14ac:dyDescent="0.25">
      <c r="B14" s="319" t="s">
        <v>146</v>
      </c>
      <c r="C14" s="326">
        <f>IF((C12*C13)&gt;=37,C10*(0.25+4.57/SQRT(C12*C13)),C10)</f>
        <v>115.96226825491476</v>
      </c>
      <c r="D14" s="318" t="s">
        <v>138</v>
      </c>
    </row>
    <row r="15" spans="2:6" x14ac:dyDescent="0.25">
      <c r="B15" s="319" t="s">
        <v>149</v>
      </c>
      <c r="C15" s="322">
        <v>4</v>
      </c>
      <c r="D15" s="318"/>
    </row>
    <row r="16" spans="2:6" ht="23.25" thickBot="1" x14ac:dyDescent="0.3">
      <c r="B16" s="323" t="s">
        <v>135</v>
      </c>
      <c r="C16" s="325">
        <f>ROUNDUP(IF(C15&gt;=2,MAX(C14,0.4*C10),MAX(C14,0.6*C10)),0)</f>
        <v>116</v>
      </c>
      <c r="D16" s="324" t="s">
        <v>138</v>
      </c>
    </row>
    <row r="17" ht="23.25" thickTop="1" x14ac:dyDescent="0.25"/>
  </sheetData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جداول!$J$3:$J$13</xm:f>
          </x14:formula1>
          <xm:sqref>C11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99"/>
  </sheetPr>
  <dimension ref="B2:H19"/>
  <sheetViews>
    <sheetView showGridLines="0" workbookViewId="0">
      <selection activeCell="C10" sqref="C10"/>
    </sheetView>
  </sheetViews>
  <sheetFormatPr defaultColWidth="15" defaultRowHeight="22.5" x14ac:dyDescent="0.25"/>
  <cols>
    <col min="1" max="1" width="4.140625" style="1" customWidth="1"/>
    <col min="2" max="2" width="61.140625" style="1" bestFit="1" customWidth="1"/>
    <col min="3" max="3" width="37.7109375" style="1" bestFit="1" customWidth="1"/>
    <col min="4" max="4" width="20.85546875" style="56" bestFit="1" customWidth="1"/>
    <col min="5" max="5" width="7.5703125" style="1" customWidth="1"/>
    <col min="6" max="6" width="8.42578125" style="1" customWidth="1"/>
    <col min="7" max="7" width="7.42578125" style="1" customWidth="1"/>
    <col min="8" max="16384" width="15" style="1"/>
  </cols>
  <sheetData>
    <row r="2" spans="2:8" x14ac:dyDescent="0.25">
      <c r="D2" s="1"/>
      <c r="F2" s="56" t="s">
        <v>150</v>
      </c>
    </row>
    <row r="3" spans="2:8" x14ac:dyDescent="0.25">
      <c r="F3" s="36" t="s">
        <v>162</v>
      </c>
      <c r="G3" s="92">
        <v>60</v>
      </c>
      <c r="H3" s="89" t="s">
        <v>138</v>
      </c>
    </row>
    <row r="4" spans="2:8" x14ac:dyDescent="0.25">
      <c r="F4" s="36" t="s">
        <v>163</v>
      </c>
      <c r="G4" s="92">
        <v>150</v>
      </c>
      <c r="H4" s="89" t="s">
        <v>138</v>
      </c>
    </row>
    <row r="5" spans="2:8" x14ac:dyDescent="0.25">
      <c r="F5" s="56"/>
    </row>
    <row r="6" spans="2:8" x14ac:dyDescent="0.25">
      <c r="F6" s="56"/>
    </row>
    <row r="7" spans="2:8" x14ac:dyDescent="0.25">
      <c r="F7" s="56"/>
    </row>
    <row r="8" spans="2:8" x14ac:dyDescent="0.25">
      <c r="F8" s="56"/>
    </row>
    <row r="9" spans="2:8" ht="23.25" thickBot="1" x14ac:dyDescent="0.3">
      <c r="F9" s="56"/>
    </row>
    <row r="10" spans="2:8" ht="23.25" thickTop="1" x14ac:dyDescent="0.25">
      <c r="B10" s="81" t="s">
        <v>151</v>
      </c>
      <c r="C10" s="84">
        <v>150</v>
      </c>
      <c r="D10" s="89" t="s">
        <v>138</v>
      </c>
      <c r="G10" s="1" t="s">
        <v>164</v>
      </c>
    </row>
    <row r="11" spans="2:8" x14ac:dyDescent="0.25">
      <c r="B11" s="82" t="s">
        <v>152</v>
      </c>
      <c r="C11" s="85">
        <v>25</v>
      </c>
      <c r="D11" s="56" t="s">
        <v>153</v>
      </c>
    </row>
    <row r="12" spans="2:8" x14ac:dyDescent="0.25">
      <c r="B12" s="82" t="s">
        <v>155</v>
      </c>
      <c r="C12" s="91">
        <f>IF(C11&lt;=18,1,IF(AND(C11&gt;18,C11&lt;54),1.2-0.0111*C11,IF(C11&gt;=54,0.6)))</f>
        <v>0.92249999999999988</v>
      </c>
    </row>
    <row r="13" spans="2:8" x14ac:dyDescent="0.25">
      <c r="B13" s="82" t="s">
        <v>158</v>
      </c>
      <c r="C13" s="96">
        <v>0</v>
      </c>
      <c r="D13" s="56" t="s">
        <v>139</v>
      </c>
    </row>
    <row r="14" spans="2:8" x14ac:dyDescent="0.25">
      <c r="B14" s="82" t="s">
        <v>157</v>
      </c>
      <c r="C14" s="96">
        <v>1</v>
      </c>
      <c r="D14" s="56" t="s">
        <v>139</v>
      </c>
    </row>
    <row r="15" spans="2:8" x14ac:dyDescent="0.25">
      <c r="B15" s="82" t="s">
        <v>159</v>
      </c>
      <c r="C15" s="86">
        <f>(C13/C14)*100</f>
        <v>0</v>
      </c>
      <c r="D15" s="56" t="s">
        <v>160</v>
      </c>
    </row>
    <row r="16" spans="2:8" x14ac:dyDescent="0.25">
      <c r="B16" s="82" t="s">
        <v>156</v>
      </c>
      <c r="C16" s="91">
        <f>IF(C15&lt;=33,1,IF(AND(C15&gt;33,C15&lt;100),1.2-0.006*C15,IF(C15&gt;=100,0.6)))</f>
        <v>1</v>
      </c>
    </row>
    <row r="17" spans="2:4" x14ac:dyDescent="0.25">
      <c r="B17" s="82" t="s">
        <v>161</v>
      </c>
      <c r="C17" s="86">
        <f>C10*C12*C16</f>
        <v>138.37499999999997</v>
      </c>
      <c r="D17" s="89" t="s">
        <v>138</v>
      </c>
    </row>
    <row r="18" spans="2:4" ht="23.25" thickBot="1" x14ac:dyDescent="0.3">
      <c r="B18" s="83" t="s">
        <v>135</v>
      </c>
      <c r="C18" s="88">
        <f>ROUNDUP(IF(AND(C17&gt;=60,C17&lt;=150),C17,C10),0)</f>
        <v>139</v>
      </c>
      <c r="D18" s="90" t="s">
        <v>138</v>
      </c>
    </row>
    <row r="19" spans="2:4" ht="23.25" thickTop="1" x14ac:dyDescent="0.25"/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66FFFF"/>
  </sheetPr>
  <dimension ref="B1:I23"/>
  <sheetViews>
    <sheetView showGridLines="0" zoomScaleNormal="100" workbookViewId="0">
      <selection activeCell="C4" sqref="C4"/>
    </sheetView>
  </sheetViews>
  <sheetFormatPr defaultColWidth="15" defaultRowHeight="22.5" x14ac:dyDescent="0.25"/>
  <cols>
    <col min="1" max="1" width="4.28515625" style="1" customWidth="1"/>
    <col min="2" max="2" width="27.28515625" style="1" bestFit="1" customWidth="1"/>
    <col min="3" max="3" width="77.28515625" style="1" bestFit="1" customWidth="1"/>
    <col min="4" max="4" width="15" style="1"/>
    <col min="5" max="5" width="21.5703125" style="1" bestFit="1" customWidth="1"/>
    <col min="6" max="6" width="14.5703125" style="1" customWidth="1"/>
    <col min="7" max="7" width="27" style="1" customWidth="1"/>
    <col min="8" max="8" width="7.7109375" style="1" customWidth="1"/>
    <col min="9" max="9" width="5.42578125" style="1" customWidth="1"/>
    <col min="10" max="16384" width="15" style="1"/>
  </cols>
  <sheetData>
    <row r="1" spans="2:5" ht="23.25" thickBot="1" x14ac:dyDescent="0.3"/>
    <row r="2" spans="2:5" ht="23.25" thickTop="1" x14ac:dyDescent="0.25">
      <c r="B2" s="98" t="s">
        <v>165</v>
      </c>
      <c r="C2" s="99" t="s">
        <v>273</v>
      </c>
      <c r="D2" s="100">
        <f>VLOOKUP(C2,Table4[],2,FALSE)</f>
        <v>1.2</v>
      </c>
    </row>
    <row r="3" spans="2:5" x14ac:dyDescent="0.25">
      <c r="B3" s="101" t="s">
        <v>169</v>
      </c>
      <c r="C3" s="102" t="s">
        <v>176</v>
      </c>
      <c r="D3" s="103">
        <f>VLOOKUP(D7,Table6[],2,FALSE)*100</f>
        <v>200</v>
      </c>
      <c r="E3" s="56" t="s">
        <v>138</v>
      </c>
    </row>
    <row r="4" spans="2:5" x14ac:dyDescent="0.25">
      <c r="B4" s="101" t="s">
        <v>170</v>
      </c>
      <c r="C4" s="102" t="s">
        <v>189</v>
      </c>
      <c r="D4" s="104">
        <f>VLOOKUP(C4,Table7[],2,FALSE)</f>
        <v>1.2</v>
      </c>
    </row>
    <row r="5" spans="2:5" x14ac:dyDescent="0.25">
      <c r="B5" s="101" t="s">
        <v>171</v>
      </c>
      <c r="C5" s="102" t="s">
        <v>198</v>
      </c>
      <c r="D5" s="104">
        <f>VLOOKUP(C5,Table8[],2,FALSE)</f>
        <v>0.9</v>
      </c>
    </row>
    <row r="6" spans="2:5" x14ac:dyDescent="0.25">
      <c r="B6" s="101" t="s">
        <v>172</v>
      </c>
      <c r="C6" s="102" t="s">
        <v>194</v>
      </c>
      <c r="D6" s="105">
        <f>IF(D9&lt;=D8,1,IF(AND(D8&lt;D9,D9&lt;70),1-(D9-D8)/(70-D8),IF(D9&gt;=70,0)))</f>
        <v>1</v>
      </c>
    </row>
    <row r="7" spans="2:5" x14ac:dyDescent="0.25">
      <c r="B7" s="173" t="s">
        <v>184</v>
      </c>
      <c r="C7" s="174"/>
      <c r="D7" s="104">
        <f>VLOOKUP(C3,Table5[],2,FALSE)</f>
        <v>5</v>
      </c>
      <c r="E7" s="94"/>
    </row>
    <row r="8" spans="2:5" ht="24" x14ac:dyDescent="0.25">
      <c r="B8" s="175" t="s">
        <v>206</v>
      </c>
      <c r="C8" s="176"/>
      <c r="D8" s="103">
        <f>IF(AND(D4=1,C6="لغزنده و بدون مانع"),5,IF(AND(D4=1,C6="سایر بام ها"),30,IF(AND(D4=1.1,C6="لغزنده و بدون مانع"),10,IF(AND(D4=1.1,C6="سایر بام ها"),45,IF(AND(D4&gt;1.1,C6="لغزنده و بدون مانع"),15,IF(AND(D4&gt;1.1,C6="سایر بام ها"),45))))))</f>
        <v>45</v>
      </c>
      <c r="E8" s="94"/>
    </row>
    <row r="9" spans="2:5" x14ac:dyDescent="0.25">
      <c r="B9" s="175" t="s">
        <v>205</v>
      </c>
      <c r="C9" s="176"/>
      <c r="D9" s="104">
        <f>ATAN('کاهش سربار بام'!C13/'کاهش سربار بام'!C14)*180/PI()</f>
        <v>0</v>
      </c>
      <c r="E9" s="94"/>
    </row>
    <row r="10" spans="2:5" x14ac:dyDescent="0.25">
      <c r="B10" s="101" t="s">
        <v>204</v>
      </c>
      <c r="C10" s="177">
        <f>0.7*D2*D3*D4*D5*D6</f>
        <v>181.44</v>
      </c>
      <c r="D10" s="178"/>
      <c r="E10" s="56" t="s">
        <v>138</v>
      </c>
    </row>
    <row r="11" spans="2:5" x14ac:dyDescent="0.25">
      <c r="B11" s="101" t="s">
        <v>207</v>
      </c>
      <c r="C11" s="177">
        <f>IF(D3&lt;=100,D2*D3,IF(D3&gt;100,D2*100))</f>
        <v>120</v>
      </c>
      <c r="D11" s="178"/>
      <c r="E11" s="56" t="s">
        <v>138</v>
      </c>
    </row>
    <row r="12" spans="2:5" ht="23.25" thickBot="1" x14ac:dyDescent="0.3">
      <c r="B12" s="106" t="s">
        <v>135</v>
      </c>
      <c r="C12" s="171">
        <f>IF(D9&lt;15,MAX(C10,C11),C10)</f>
        <v>181.44</v>
      </c>
      <c r="D12" s="172"/>
      <c r="E12" s="97" t="s">
        <v>138</v>
      </c>
    </row>
    <row r="13" spans="2:5" ht="23.25" thickTop="1" x14ac:dyDescent="0.25"/>
    <row r="21" spans="7:9" x14ac:dyDescent="0.25">
      <c r="G21" s="56" t="s">
        <v>150</v>
      </c>
    </row>
    <row r="22" spans="7:9" x14ac:dyDescent="0.25">
      <c r="G22" s="56" t="s">
        <v>210</v>
      </c>
      <c r="H22" s="36" t="s">
        <v>208</v>
      </c>
      <c r="I22" s="92">
        <v>15</v>
      </c>
    </row>
    <row r="23" spans="7:9" x14ac:dyDescent="0.25">
      <c r="G23" s="56" t="s">
        <v>211</v>
      </c>
      <c r="H23" s="36" t="s">
        <v>209</v>
      </c>
      <c r="I23" s="92">
        <v>15</v>
      </c>
    </row>
  </sheetData>
  <mergeCells count="6">
    <mergeCell ref="C12:D12"/>
    <mergeCell ref="B7:C7"/>
    <mergeCell ref="B8:C8"/>
    <mergeCell ref="B9:C9"/>
    <mergeCell ref="C10:D10"/>
    <mergeCell ref="C11:D11"/>
  </mergeCells>
  <pageMargins left="0.7" right="0.7" top="0.75" bottom="0.75" header="0.3" footer="0.3"/>
  <drawing r:id="rId1"/>
  <legacyDrawing r:id="rId2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>
          <x14:formula1>
            <xm:f>جداول!$J$16:$J$19</xm:f>
          </x14:formula1>
          <xm:sqref>C2</xm:sqref>
        </x14:dataValidation>
        <x14:dataValidation type="list" allowBlank="1" showInputMessage="1" showErrorMessage="1">
          <x14:formula1>
            <xm:f>جداول!$J$22:$J$31</xm:f>
          </x14:formula1>
          <xm:sqref>C3</xm:sqref>
        </x14:dataValidation>
        <x14:dataValidation type="list" allowBlank="1" showInputMessage="1" showErrorMessage="1">
          <x14:formula1>
            <xm:f>جداول!$F$34:$F$37</xm:f>
          </x14:formula1>
          <xm:sqref>C4</xm:sqref>
        </x14:dataValidation>
        <x14:dataValidation type="list" allowBlank="1" showInputMessage="1" showErrorMessage="1">
          <x14:formula1>
            <xm:f>جداول!$F$40:$F$48</xm:f>
          </x14:formula1>
          <xm:sqref>C5</xm:sqref>
        </x14:dataValidation>
        <x14:dataValidation type="list" allowBlank="1" showInputMessage="1" showErrorMessage="1">
          <x14:formula1>
            <xm:f>جداول!$M$3:$M$4</xm:f>
          </x14:formula1>
          <xm:sqref>C6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66FFFF"/>
  </sheetPr>
  <dimension ref="B1:D16"/>
  <sheetViews>
    <sheetView showGridLines="0" workbookViewId="0">
      <selection activeCell="B8" sqref="B8"/>
    </sheetView>
  </sheetViews>
  <sheetFormatPr defaultColWidth="15" defaultRowHeight="22.5" x14ac:dyDescent="0.25"/>
  <cols>
    <col min="1" max="1" width="4.28515625" style="1" customWidth="1"/>
    <col min="2" max="2" width="37.28515625" style="1" customWidth="1"/>
    <col min="3" max="3" width="16" style="1" customWidth="1"/>
    <col min="4" max="4" width="23.85546875" style="1" bestFit="1" customWidth="1"/>
    <col min="5" max="16384" width="15" style="1"/>
  </cols>
  <sheetData>
    <row r="1" spans="2:4" ht="23.25" thickBot="1" x14ac:dyDescent="0.3"/>
    <row r="2" spans="2:4" ht="23.25" thickTop="1" x14ac:dyDescent="0.25">
      <c r="B2" s="98" t="s">
        <v>169</v>
      </c>
      <c r="C2" s="107">
        <f xml:space="preserve"> برف!D3 / 100</f>
        <v>2</v>
      </c>
      <c r="D2" s="56" t="s">
        <v>224</v>
      </c>
    </row>
    <row r="3" spans="2:4" x14ac:dyDescent="0.25">
      <c r="B3" s="108" t="s">
        <v>215</v>
      </c>
      <c r="C3" s="109">
        <f>MIN(0.43*C2+2.2,4.7)</f>
        <v>3.06</v>
      </c>
      <c r="D3" s="1" t="s">
        <v>225</v>
      </c>
    </row>
    <row r="4" spans="2:4" x14ac:dyDescent="0.25">
      <c r="B4" s="101" t="s">
        <v>212</v>
      </c>
      <c r="C4" s="110">
        <v>2.9</v>
      </c>
      <c r="D4" s="56" t="s">
        <v>139</v>
      </c>
    </row>
    <row r="5" spans="2:4" x14ac:dyDescent="0.25">
      <c r="B5" s="101" t="s">
        <v>213</v>
      </c>
      <c r="C5" s="109">
        <f>C2/C3</f>
        <v>0.65359477124183007</v>
      </c>
      <c r="D5" s="56" t="s">
        <v>139</v>
      </c>
    </row>
    <row r="6" spans="2:4" x14ac:dyDescent="0.25">
      <c r="B6" s="101" t="s">
        <v>214</v>
      </c>
      <c r="C6" s="109">
        <f>C4-C5</f>
        <v>2.2464052287581699</v>
      </c>
      <c r="D6" s="56" t="s">
        <v>139</v>
      </c>
    </row>
    <row r="7" spans="2:4" x14ac:dyDescent="0.25">
      <c r="B7" s="173" t="str">
        <f>IF(C6/C5&gt;0.2,"بار برف انباشتگی باید لحاظ گردد","نیازی به در نظر گرفتن بار برف انباشتگی نیست")</f>
        <v>بار برف انباشتگی باید لحاظ گردد</v>
      </c>
      <c r="C7" s="179"/>
    </row>
    <row r="8" spans="2:4" x14ac:dyDescent="0.25">
      <c r="B8" s="101" t="s">
        <v>216</v>
      </c>
      <c r="C8" s="110">
        <v>5</v>
      </c>
      <c r="D8" s="56" t="s">
        <v>139</v>
      </c>
    </row>
    <row r="9" spans="2:4" x14ac:dyDescent="0.25">
      <c r="B9" s="101" t="s">
        <v>217</v>
      </c>
      <c r="C9" s="110">
        <v>8</v>
      </c>
      <c r="D9" s="56" t="s">
        <v>139</v>
      </c>
    </row>
    <row r="10" spans="2:4" x14ac:dyDescent="0.25">
      <c r="B10" s="101" t="s">
        <v>218</v>
      </c>
      <c r="C10" s="111">
        <f xml:space="preserve"> 0.12 * C8^(1/3) * (100*C2+50)^(1/4) - 0.5</f>
        <v>0.31593629037262227</v>
      </c>
      <c r="D10" s="56" t="s">
        <v>139</v>
      </c>
    </row>
    <row r="11" spans="2:4" x14ac:dyDescent="0.25">
      <c r="B11" s="101" t="s">
        <v>219</v>
      </c>
      <c r="C11" s="111">
        <f xml:space="preserve"> 0.75 * ( 0.12 * C9^(1/3) * (100*C2+50)^(1/4) - 0.5 )</f>
        <v>0.34074365589034539</v>
      </c>
      <c r="D11" s="56" t="s">
        <v>139</v>
      </c>
    </row>
    <row r="12" spans="2:4" x14ac:dyDescent="0.25">
      <c r="B12" s="101" t="s">
        <v>220</v>
      </c>
      <c r="C12" s="112">
        <f xml:space="preserve"> MAX(C10,C11)</f>
        <v>0.34074365589034539</v>
      </c>
      <c r="D12" s="56" t="s">
        <v>139</v>
      </c>
    </row>
    <row r="13" spans="2:4" x14ac:dyDescent="0.25">
      <c r="B13" s="101" t="s">
        <v>221</v>
      </c>
      <c r="C13" s="105">
        <f>IF(C12&lt;=C6,4*C12,IF(C12&gt;C6,(4*C12^2)/C6))</f>
        <v>1.3629746235613815</v>
      </c>
      <c r="D13" s="56" t="s">
        <v>139</v>
      </c>
    </row>
    <row r="14" spans="2:4" x14ac:dyDescent="0.25">
      <c r="B14" s="113" t="s">
        <v>222</v>
      </c>
      <c r="C14" s="114">
        <f>MIN(C13,8*C6)</f>
        <v>1.3629746235613815</v>
      </c>
      <c r="D14" s="97" t="s">
        <v>139</v>
      </c>
    </row>
    <row r="15" spans="2:4" ht="23.25" thickBot="1" x14ac:dyDescent="0.3">
      <c r="B15" s="115" t="s">
        <v>223</v>
      </c>
      <c r="C15" s="116">
        <f>C3*C12</f>
        <v>1.0426755870244568</v>
      </c>
      <c r="D15" s="97" t="s">
        <v>224</v>
      </c>
    </row>
    <row r="16" spans="2:4" ht="23.25" thickTop="1" x14ac:dyDescent="0.25"/>
  </sheetData>
  <mergeCells count="1">
    <mergeCell ref="B7:C7"/>
  </mergeCells>
  <conditionalFormatting sqref="B7:C7">
    <cfRule type="expression" dxfId="6" priority="1">
      <formula>$B$7="نیازی به در نظر گرفتن بار برف انباشتگی نیست"</formula>
    </cfRule>
    <cfRule type="expression" dxfId="5" priority="2">
      <formula>$B$7="بار برف انباشتگی باید لحاظ گردد"</formula>
    </cfRule>
  </conditionalFormatting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سقف</vt:lpstr>
      <vt:lpstr>دیوار</vt:lpstr>
      <vt:lpstr>تاسیسات</vt:lpstr>
      <vt:lpstr>تخمین بار زنده</vt:lpstr>
      <vt:lpstr>بار معادل تیغه بندی</vt:lpstr>
      <vt:lpstr>کاهش سربار طبقات</vt:lpstr>
      <vt:lpstr>کاهش سربار بام</vt:lpstr>
      <vt:lpstr>برف</vt:lpstr>
      <vt:lpstr>برف انباشتگی</vt:lpstr>
      <vt:lpstr>راه پله</vt:lpstr>
      <vt:lpstr>خرپشته</vt:lpstr>
      <vt:lpstr>جداول</vt:lpstr>
      <vt:lpstr>ضریب زلزله در راستای X</vt:lpstr>
      <vt:lpstr>ضریب زلزله در راستای Y</vt:lpstr>
      <vt:lpstr>محاسبه بار لرزه ای</vt:lpstr>
      <vt:lpstr>برش پایه و لنگر واژگونی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2023-12-31T10:06:41Z</dcterms:modified>
</cp:coreProperties>
</file>